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05" windowWidth="14805" windowHeight="8010"/>
  </bookViews>
  <sheets>
    <sheet name="48" sheetId="10" r:id="rId1"/>
    <sheet name="50" sheetId="12" r:id="rId2"/>
    <sheet name="51" sheetId="1" r:id="rId3"/>
    <sheet name="52" sheetId="2" r:id="rId4"/>
    <sheet name="53" sheetId="3" r:id="rId5"/>
    <sheet name="54" sheetId="4" r:id="rId6"/>
    <sheet name="58" sheetId="7" r:id="rId7"/>
    <sheet name="59" sheetId="8" r:id="rId8"/>
    <sheet name="61" sheetId="9" r:id="rId9"/>
  </sheets>
  <externalReferences>
    <externalReference r:id="rId10"/>
  </externalReferences>
  <definedNames>
    <definedName name="ADP">#REF!</definedName>
    <definedName name="AKHAC">#REF!</definedName>
    <definedName name="ALTINH">#REF!</definedName>
    <definedName name="Anguon" localSheetId="0">'[1]Dt 2001'!#REF!</definedName>
    <definedName name="Anguon">'[1]Dt 2001'!#REF!</definedName>
    <definedName name="ANN">#REF!</definedName>
    <definedName name="ANQD">#REF!</definedName>
    <definedName name="ANQQH" localSheetId="0">'[1]Dt 2001'!#REF!</definedName>
    <definedName name="ANQQH">'[1]Dt 2001'!#REF!</definedName>
    <definedName name="ANSNN" localSheetId="0">'[1]Dt 2001'!#REF!</definedName>
    <definedName name="ANSNN">'[1]Dt 2001'!#REF!</definedName>
    <definedName name="ANSNNxnk" localSheetId="0">'[1]Dt 2001'!#REF!</definedName>
    <definedName name="ANSNNxnk">'[1]Dt 2001'!#REF!</definedName>
    <definedName name="APC" localSheetId="0">'[1]Dt 2001'!#REF!</definedName>
    <definedName name="APC">'[1]Dt 2001'!#REF!</definedName>
    <definedName name="ATW">#REF!</definedName>
    <definedName name="Can_doi">#REF!</definedName>
    <definedName name="DNNN">#REF!</definedName>
    <definedName name="Khac">#REF!</definedName>
    <definedName name="Khong_can_doi">#REF!</definedName>
    <definedName name="NQD">#REF!</definedName>
    <definedName name="NQQH" localSheetId="0">'[1]Dt 2001'!#REF!</definedName>
    <definedName name="NQQH">'[1]Dt 2001'!#REF!</definedName>
    <definedName name="NSNN" localSheetId="0">'[1]Dt 2001'!#REF!</definedName>
    <definedName name="NSNN">'[1]Dt 2001'!#REF!</definedName>
    <definedName name="page\x2dtotal" localSheetId="6">'58'!$A$27</definedName>
    <definedName name="page\x2dtotal" localSheetId="7">'59'!$A$26</definedName>
    <definedName name="page\x2dtotal" localSheetId="8">'61'!$A$47</definedName>
    <definedName name="page\x2dtotal">'54'!$A$123</definedName>
    <definedName name="page\x2dtotal\x2dmaster0" localSheetId="6">'58'!$A$27</definedName>
    <definedName name="page\x2dtotal\x2dmaster0" localSheetId="7">'59'!$A$26</definedName>
    <definedName name="page\x2dtotal\x2dmaster0" localSheetId="8">'61'!$A$47</definedName>
    <definedName name="page\x2dtotal\x2dmaster0">'54'!$A$123</definedName>
    <definedName name="PC" localSheetId="0">'[1]Dt 2001'!#REF!</definedName>
    <definedName name="PC">'[1]Dt 2001'!#REF!</definedName>
    <definedName name="Phan_cap">#REF!</definedName>
    <definedName name="Phi_le_phi">#REF!</definedName>
    <definedName name="_xlnm.Print_Area" localSheetId="0">'48'!$A$1:$F$44</definedName>
    <definedName name="_xlnm.Print_Area" localSheetId="1">'50'!$A$1:$H$65</definedName>
    <definedName name="_xlnm.Print_Area" localSheetId="2">'51'!$A$1:$E$46</definedName>
    <definedName name="_xlnm.Print_Area" localSheetId="3">'52'!$A$1:$F$49</definedName>
    <definedName name="_xlnm.Print_Area" localSheetId="4">'53'!$A$1:$K$56</definedName>
    <definedName name="_xlnm.Print_Area" localSheetId="5">'54'!$A$1:$W$119</definedName>
    <definedName name="_xlnm.Print_Area" localSheetId="6">'58'!$A$1:$U$25</definedName>
    <definedName name="_xlnm.Print_Area" localSheetId="7">'59'!$A$1:$Z$24</definedName>
    <definedName name="_xlnm.Print_Area" localSheetId="8">'61'!$A$1:$BA$46</definedName>
    <definedName name="_xlnm.Print_Area">#REF!</definedName>
    <definedName name="PRINT_AREA_MI" localSheetId="0">#REF!</definedName>
    <definedName name="PRINT_AREA_MI">#REF!</definedName>
    <definedName name="_xlnm.Print_Titles" localSheetId="0">'48'!$8:$9</definedName>
    <definedName name="_xlnm.Print_Titles" localSheetId="1">'50'!$7:$8</definedName>
    <definedName name="_xlnm.Print_Titles" localSheetId="2">'51'!$8:$8</definedName>
    <definedName name="_xlnm.Print_Titles" localSheetId="4">'53'!$8:$9</definedName>
    <definedName name="_xlnm.Print_Titles" localSheetId="5">'54'!$A:$B,'54'!$5:$9</definedName>
    <definedName name="_xlnm.Print_Titles" localSheetId="6">'58'!$A:$B</definedName>
    <definedName name="_xlnm.Print_Titles" localSheetId="7">'59'!$A:$B</definedName>
    <definedName name="_xlnm.Print_Titles" localSheetId="8">'61'!$A:$B</definedName>
    <definedName name="TW">#REF!</definedName>
  </definedNames>
  <calcPr calcId="162913"/>
</workbook>
</file>

<file path=xl/calcChain.xml><?xml version="1.0" encoding="utf-8"?>
<calcChain xmlns="http://schemas.openxmlformats.org/spreadsheetml/2006/main">
  <c r="T13" i="7" l="1"/>
  <c r="U13" i="7"/>
  <c r="T14" i="7"/>
  <c r="U14" i="7"/>
  <c r="T15" i="7"/>
  <c r="U15" i="7"/>
  <c r="T16" i="7"/>
  <c r="U16" i="7"/>
  <c r="T17" i="7"/>
  <c r="U17" i="7"/>
  <c r="T18" i="7"/>
  <c r="U18" i="7"/>
  <c r="T19" i="7"/>
  <c r="U19" i="7"/>
  <c r="T20" i="7"/>
  <c r="U20" i="7"/>
  <c r="T21" i="7"/>
  <c r="U21" i="7"/>
  <c r="T22" i="7"/>
  <c r="U22" i="7"/>
  <c r="T23" i="7"/>
  <c r="U23" i="7"/>
  <c r="S12" i="7"/>
  <c r="T12" i="7"/>
  <c r="U12" i="7"/>
  <c r="U11" i="7"/>
  <c r="T11" i="7"/>
  <c r="AK36" i="9" l="1"/>
  <c r="AM36" i="9"/>
  <c r="AN36" i="9"/>
  <c r="AR36" i="9"/>
  <c r="AS36" i="9"/>
  <c r="AU36" i="9"/>
  <c r="AY36" i="9"/>
  <c r="AZ36" i="9"/>
  <c r="AK37" i="9"/>
  <c r="AM37" i="9"/>
  <c r="AN37" i="9"/>
  <c r="AR37" i="9"/>
  <c r="AS37" i="9"/>
  <c r="AU37" i="9"/>
  <c r="AY37" i="9"/>
  <c r="AZ37" i="9"/>
  <c r="AK38" i="9"/>
  <c r="AM38" i="9"/>
  <c r="AN38" i="9"/>
  <c r="AR38" i="9"/>
  <c r="AS38" i="9"/>
  <c r="AU38" i="9"/>
  <c r="AY38" i="9"/>
  <c r="AZ38" i="9"/>
  <c r="AK39" i="9"/>
  <c r="AM39" i="9"/>
  <c r="AN39" i="9"/>
  <c r="AR39" i="9"/>
  <c r="AS39" i="9"/>
  <c r="AU39" i="9"/>
  <c r="AY39" i="9"/>
  <c r="AZ39" i="9"/>
  <c r="AK40" i="9"/>
  <c r="AM40" i="9"/>
  <c r="AN40" i="9"/>
  <c r="AR40" i="9"/>
  <c r="AS40" i="9"/>
  <c r="AU40" i="9"/>
  <c r="AY40" i="9"/>
  <c r="AZ40" i="9"/>
  <c r="AK41" i="9"/>
  <c r="AM41" i="9"/>
  <c r="AN41" i="9"/>
  <c r="AR41" i="9"/>
  <c r="AS41" i="9"/>
  <c r="AU41" i="9"/>
  <c r="AY41" i="9"/>
  <c r="AZ41" i="9"/>
  <c r="AK42" i="9"/>
  <c r="AM42" i="9"/>
  <c r="AN42" i="9"/>
  <c r="AR42" i="9"/>
  <c r="AS42" i="9"/>
  <c r="AU42" i="9"/>
  <c r="AY42" i="9"/>
  <c r="AZ42" i="9"/>
  <c r="AK43" i="9"/>
  <c r="AM43" i="9"/>
  <c r="AN43" i="9"/>
  <c r="AR43" i="9"/>
  <c r="AS43" i="9"/>
  <c r="AU43" i="9"/>
  <c r="AY43" i="9"/>
  <c r="AZ43" i="9"/>
  <c r="AK44" i="9"/>
  <c r="AM44" i="9"/>
  <c r="AN44" i="9"/>
  <c r="AR44" i="9"/>
  <c r="AS44" i="9"/>
  <c r="AU44" i="9"/>
  <c r="AY44" i="9"/>
  <c r="AZ44" i="9"/>
  <c r="AK45" i="9"/>
  <c r="AM45" i="9"/>
  <c r="AN45" i="9"/>
  <c r="AR45" i="9"/>
  <c r="AS45" i="9"/>
  <c r="AU45" i="9"/>
  <c r="AY45" i="9"/>
  <c r="AZ45" i="9"/>
  <c r="AK46" i="9"/>
  <c r="AM46" i="9"/>
  <c r="AN46" i="9"/>
  <c r="AR46" i="9"/>
  <c r="AS46" i="9"/>
  <c r="AU46" i="9"/>
  <c r="AY46" i="9"/>
  <c r="AZ46" i="9"/>
  <c r="AK35" i="9"/>
  <c r="AM35" i="9"/>
  <c r="AN35" i="9"/>
  <c r="AR35" i="9"/>
  <c r="AS35" i="9"/>
  <c r="AP23" i="9"/>
  <c r="AW23" i="9"/>
  <c r="AP24" i="9"/>
  <c r="AW24" i="9"/>
  <c r="AP25" i="9"/>
  <c r="AW25" i="9"/>
  <c r="AP26" i="9"/>
  <c r="AW26" i="9"/>
  <c r="AP27" i="9"/>
  <c r="AW27" i="9"/>
  <c r="AP28" i="9"/>
  <c r="AW28" i="9"/>
  <c r="AP29" i="9"/>
  <c r="AW29" i="9"/>
  <c r="AP30" i="9"/>
  <c r="AW30" i="9"/>
  <c r="AP31" i="9"/>
  <c r="AW31" i="9"/>
  <c r="AP32" i="9"/>
  <c r="AW32" i="9"/>
  <c r="AP33" i="9"/>
  <c r="AW33" i="9"/>
  <c r="AK34" i="9"/>
  <c r="AM34" i="9"/>
  <c r="AN34" i="9"/>
  <c r="AR34" i="9"/>
  <c r="AS34" i="9"/>
  <c r="AU34" i="9"/>
  <c r="AY34" i="9"/>
  <c r="AZ34" i="9"/>
  <c r="AP22" i="9"/>
  <c r="AK17" i="9"/>
  <c r="AM17" i="9"/>
  <c r="AU17" i="9"/>
  <c r="AY17" i="9"/>
  <c r="AZ17" i="9"/>
  <c r="AK18" i="9"/>
  <c r="AM18" i="9"/>
  <c r="AN18" i="9"/>
  <c r="AR18" i="9"/>
  <c r="AS18" i="9"/>
  <c r="AU18" i="9"/>
  <c r="AY18" i="9"/>
  <c r="AZ18" i="9"/>
  <c r="AK19" i="9"/>
  <c r="AM19" i="9"/>
  <c r="AN19" i="9"/>
  <c r="AR19" i="9"/>
  <c r="AS19" i="9"/>
  <c r="AK16" i="9"/>
  <c r="AM16" i="9"/>
  <c r="AU16" i="9"/>
  <c r="AY16" i="9"/>
  <c r="AZ16" i="9"/>
  <c r="T14" i="9"/>
  <c r="U14" i="9"/>
  <c r="V14" i="9"/>
  <c r="W14" i="9"/>
  <c r="X14" i="9"/>
  <c r="Y14" i="9"/>
  <c r="Z14" i="9"/>
  <c r="AA14" i="9"/>
  <c r="AB14" i="9"/>
  <c r="AC14" i="9"/>
  <c r="AD14" i="9"/>
  <c r="AE14" i="9"/>
  <c r="AF14" i="9"/>
  <c r="AG14" i="9"/>
  <c r="AH14" i="9"/>
  <c r="AI14" i="9"/>
  <c r="AJ14" i="9"/>
  <c r="V32" i="9"/>
  <c r="V21" i="9"/>
  <c r="AE22" i="9"/>
  <c r="AE23" i="9"/>
  <c r="AE24" i="9"/>
  <c r="AE25" i="9"/>
  <c r="AE26" i="9"/>
  <c r="AE27" i="9"/>
  <c r="AE28" i="9"/>
  <c r="AE29" i="9"/>
  <c r="AE30" i="9"/>
  <c r="AE31" i="9"/>
  <c r="AE32" i="9"/>
  <c r="AE33" i="9"/>
  <c r="AH22" i="9"/>
  <c r="AH23" i="9"/>
  <c r="V23" i="9" s="1"/>
  <c r="AH24" i="9"/>
  <c r="AH25" i="9"/>
  <c r="AH26" i="9"/>
  <c r="AH27" i="9"/>
  <c r="AH28" i="9"/>
  <c r="AH29" i="9"/>
  <c r="AH30" i="9"/>
  <c r="V30" i="9" s="1"/>
  <c r="AH31" i="9"/>
  <c r="AH32" i="9"/>
  <c r="AH33" i="9"/>
  <c r="AH21" i="9"/>
  <c r="AE21" i="9"/>
  <c r="AD21" i="9" s="1"/>
  <c r="X22" i="9"/>
  <c r="X23" i="9"/>
  <c r="X24" i="9"/>
  <c r="X25" i="9"/>
  <c r="X26" i="9"/>
  <c r="X27" i="9"/>
  <c r="X28" i="9"/>
  <c r="X29" i="9"/>
  <c r="X30" i="9"/>
  <c r="X31" i="9"/>
  <c r="X32" i="9"/>
  <c r="X33" i="9"/>
  <c r="AA22" i="9"/>
  <c r="V22" i="9" s="1"/>
  <c r="AA23" i="9"/>
  <c r="AA24" i="9"/>
  <c r="V24" i="9" s="1"/>
  <c r="AA25" i="9"/>
  <c r="V25" i="9" s="1"/>
  <c r="AA26" i="9"/>
  <c r="V26" i="9" s="1"/>
  <c r="AA27" i="9"/>
  <c r="AA28" i="9"/>
  <c r="V28" i="9" s="1"/>
  <c r="AA29" i="9"/>
  <c r="V29" i="9" s="1"/>
  <c r="AA30" i="9"/>
  <c r="AA31" i="9"/>
  <c r="AA32" i="9"/>
  <c r="AA33" i="9"/>
  <c r="V33" i="9" s="1"/>
  <c r="AA21" i="9"/>
  <c r="X21" i="9"/>
  <c r="W21" i="9" s="1"/>
  <c r="AD24" i="9" l="1"/>
  <c r="W33" i="9"/>
  <c r="AD32" i="9"/>
  <c r="AD28" i="9"/>
  <c r="W29" i="9"/>
  <c r="W25" i="9"/>
  <c r="U21" i="9"/>
  <c r="T21" i="9" s="1"/>
  <c r="V31" i="9"/>
  <c r="V27" i="9"/>
  <c r="W28" i="9"/>
  <c r="AD31" i="9"/>
  <c r="AD23" i="9"/>
  <c r="W31" i="9"/>
  <c r="W27" i="9"/>
  <c r="W23" i="9"/>
  <c r="AD30" i="9"/>
  <c r="AD26" i="9"/>
  <c r="AD22" i="9"/>
  <c r="W32" i="9"/>
  <c r="W24" i="9"/>
  <c r="AD27" i="9"/>
  <c r="W30" i="9"/>
  <c r="W26" i="9"/>
  <c r="W22" i="9"/>
  <c r="AD33" i="9"/>
  <c r="AD29" i="9"/>
  <c r="AD25" i="9"/>
  <c r="U28" i="9" l="1"/>
  <c r="U33" i="9"/>
  <c r="U30" i="9"/>
  <c r="U27" i="9"/>
  <c r="U31" i="9"/>
  <c r="U25" i="9"/>
  <c r="U22" i="9"/>
  <c r="U24" i="9"/>
  <c r="U26" i="9"/>
  <c r="U32" i="9"/>
  <c r="U23" i="9"/>
  <c r="U29" i="9"/>
  <c r="T22" i="9" l="1"/>
  <c r="T27" i="9"/>
  <c r="T32" i="9"/>
  <c r="T31" i="9"/>
  <c r="T28" i="9"/>
  <c r="T24" i="9"/>
  <c r="T29" i="9"/>
  <c r="T23" i="9"/>
  <c r="T26" i="9"/>
  <c r="T25" i="9"/>
  <c r="T30" i="9"/>
  <c r="T33" i="9"/>
  <c r="H20" i="9" l="1"/>
  <c r="I20" i="9"/>
  <c r="K20" i="9"/>
  <c r="K15" i="9" s="1"/>
  <c r="L20" i="9"/>
  <c r="O20" i="9"/>
  <c r="P20" i="9"/>
  <c r="R20" i="9"/>
  <c r="S20" i="9"/>
  <c r="S15" i="9" s="1"/>
  <c r="S14" i="9" s="1"/>
  <c r="G33" i="9"/>
  <c r="AO33" i="9" s="1"/>
  <c r="J33" i="9"/>
  <c r="E33" i="9" s="1"/>
  <c r="N33" i="9"/>
  <c r="Q33" i="9"/>
  <c r="G29" i="9"/>
  <c r="J29" i="9"/>
  <c r="N29" i="9"/>
  <c r="AV29" i="9" s="1"/>
  <c r="Q29" i="9"/>
  <c r="G30" i="9"/>
  <c r="AO30" i="9" s="1"/>
  <c r="J30" i="9"/>
  <c r="N30" i="9"/>
  <c r="AV30" i="9" s="1"/>
  <c r="Q30" i="9"/>
  <c r="G31" i="9"/>
  <c r="J31" i="9"/>
  <c r="E31" i="9" s="1"/>
  <c r="N31" i="9"/>
  <c r="AV31" i="9" s="1"/>
  <c r="Q31" i="9"/>
  <c r="G32" i="9"/>
  <c r="J32" i="9"/>
  <c r="E32" i="9" s="1"/>
  <c r="N32" i="9"/>
  <c r="Q32" i="9"/>
  <c r="G21" i="9"/>
  <c r="D21" i="9" s="1"/>
  <c r="J21" i="9"/>
  <c r="N21" i="9"/>
  <c r="Q21" i="9"/>
  <c r="G22" i="9"/>
  <c r="AO22" i="9" s="1"/>
  <c r="J22" i="9"/>
  <c r="N22" i="9"/>
  <c r="Q22" i="9"/>
  <c r="G23" i="9"/>
  <c r="J23" i="9"/>
  <c r="N23" i="9"/>
  <c r="AV23" i="9" s="1"/>
  <c r="Q23" i="9"/>
  <c r="G24" i="9"/>
  <c r="AO24" i="9" s="1"/>
  <c r="J24" i="9"/>
  <c r="N24" i="9"/>
  <c r="AV24" i="9" s="1"/>
  <c r="Q24" i="9"/>
  <c r="G25" i="9"/>
  <c r="AO25" i="9" s="1"/>
  <c r="J25" i="9"/>
  <c r="N25" i="9"/>
  <c r="Q25" i="9"/>
  <c r="G26" i="9"/>
  <c r="J26" i="9"/>
  <c r="N26" i="9"/>
  <c r="Q26" i="9"/>
  <c r="E26" i="9" s="1"/>
  <c r="G27" i="9"/>
  <c r="AO27" i="9" s="1"/>
  <c r="J27" i="9"/>
  <c r="N27" i="9"/>
  <c r="Q27" i="9"/>
  <c r="G28" i="9"/>
  <c r="AO28" i="9" s="1"/>
  <c r="J28" i="9"/>
  <c r="N28" i="9"/>
  <c r="Q28" i="9"/>
  <c r="H34" i="9"/>
  <c r="I34" i="9"/>
  <c r="K34" i="9"/>
  <c r="L34" i="9"/>
  <c r="O34" i="9"/>
  <c r="P34" i="9"/>
  <c r="R34" i="9"/>
  <c r="S34" i="9"/>
  <c r="G35" i="9"/>
  <c r="J35" i="9"/>
  <c r="F35" i="9" s="1"/>
  <c r="N35" i="9"/>
  <c r="Q35" i="9"/>
  <c r="G36" i="9"/>
  <c r="J36" i="9"/>
  <c r="N36" i="9"/>
  <c r="Q36" i="9"/>
  <c r="G37" i="9"/>
  <c r="J37" i="9"/>
  <c r="N37" i="9"/>
  <c r="Q37" i="9"/>
  <c r="G38" i="9"/>
  <c r="J38" i="9"/>
  <c r="F38" i="9" s="1"/>
  <c r="N38" i="9"/>
  <c r="Q38" i="9"/>
  <c r="G39" i="9"/>
  <c r="J39" i="9"/>
  <c r="N39" i="9"/>
  <c r="Q39" i="9"/>
  <c r="G40" i="9"/>
  <c r="J40" i="9"/>
  <c r="N40" i="9"/>
  <c r="Q40" i="9"/>
  <c r="G41" i="9"/>
  <c r="J41" i="9"/>
  <c r="N41" i="9"/>
  <c r="Q41" i="9"/>
  <c r="G42" i="9"/>
  <c r="J42" i="9"/>
  <c r="N42" i="9"/>
  <c r="Q42" i="9"/>
  <c r="G43" i="9"/>
  <c r="J43" i="9"/>
  <c r="N43" i="9"/>
  <c r="Q43" i="9"/>
  <c r="G44" i="9"/>
  <c r="J44" i="9"/>
  <c r="N44" i="9"/>
  <c r="Q44" i="9"/>
  <c r="G45" i="9"/>
  <c r="J45" i="9"/>
  <c r="N45" i="9"/>
  <c r="Q45" i="9"/>
  <c r="G46" i="9"/>
  <c r="J46" i="9"/>
  <c r="N46" i="9"/>
  <c r="Q46" i="9"/>
  <c r="I15" i="9"/>
  <c r="I14" i="9" s="1"/>
  <c r="L15" i="9"/>
  <c r="L14" i="9" s="1"/>
  <c r="P15" i="9"/>
  <c r="P14" i="9" s="1"/>
  <c r="R15" i="9"/>
  <c r="Q17" i="9"/>
  <c r="Q18" i="9"/>
  <c r="Q19" i="9"/>
  <c r="N17" i="9"/>
  <c r="N18" i="9"/>
  <c r="N19" i="9"/>
  <c r="G17" i="9"/>
  <c r="J17" i="9"/>
  <c r="G18" i="9"/>
  <c r="F18" i="9" s="1"/>
  <c r="J18" i="9"/>
  <c r="E18" i="9" s="1"/>
  <c r="G19" i="9"/>
  <c r="J19" i="9"/>
  <c r="E19" i="9" s="1"/>
  <c r="J16" i="9"/>
  <c r="G16" i="9"/>
  <c r="F16" i="9" s="1"/>
  <c r="M16" i="9"/>
  <c r="N16" i="9"/>
  <c r="Q16" i="9"/>
  <c r="F23" i="9" l="1"/>
  <c r="AN23" i="9" s="1"/>
  <c r="AO23" i="9"/>
  <c r="K14" i="9"/>
  <c r="AS14" i="9" s="1"/>
  <c r="AS15" i="9"/>
  <c r="M28" i="9"/>
  <c r="AU28" i="9" s="1"/>
  <c r="AV28" i="9"/>
  <c r="M27" i="9"/>
  <c r="AU27" i="9" s="1"/>
  <c r="AV27" i="9"/>
  <c r="M26" i="9"/>
  <c r="AU26" i="9" s="1"/>
  <c r="AV26" i="9"/>
  <c r="Q20" i="9"/>
  <c r="F21" i="9"/>
  <c r="F32" i="9"/>
  <c r="AN32" i="9" s="1"/>
  <c r="AO32" i="9"/>
  <c r="AZ15" i="9"/>
  <c r="R14" i="9"/>
  <c r="AZ14" i="9" s="1"/>
  <c r="E28" i="9"/>
  <c r="E27" i="9"/>
  <c r="M25" i="9"/>
  <c r="AU25" i="9" s="1"/>
  <c r="AV25" i="9"/>
  <c r="D22" i="9"/>
  <c r="F31" i="9"/>
  <c r="AN31" i="9" s="1"/>
  <c r="AO31" i="9"/>
  <c r="F29" i="9"/>
  <c r="AN29" i="9" s="1"/>
  <c r="AO29" i="9"/>
  <c r="O15" i="9"/>
  <c r="AW20" i="9"/>
  <c r="H15" i="9"/>
  <c r="AP20" i="9"/>
  <c r="M33" i="9"/>
  <c r="AU33" i="9" s="1"/>
  <c r="AV33" i="9"/>
  <c r="Q15" i="9"/>
  <c r="F26" i="9"/>
  <c r="AN26" i="9" s="1"/>
  <c r="AO26" i="9"/>
  <c r="E25" i="9"/>
  <c r="E22" i="9"/>
  <c r="J20" i="9"/>
  <c r="M32" i="9"/>
  <c r="AU32" i="9" s="1"/>
  <c r="AV32" i="9"/>
  <c r="E30" i="9"/>
  <c r="D31" i="9"/>
  <c r="AL31" i="9" s="1"/>
  <c r="D29" i="9"/>
  <c r="AL29" i="9" s="1"/>
  <c r="D24" i="9"/>
  <c r="AL24" i="9" s="1"/>
  <c r="G20" i="9"/>
  <c r="D23" i="9"/>
  <c r="D17" i="9"/>
  <c r="D28" i="9"/>
  <c r="F27" i="9"/>
  <c r="AN27" i="9" s="1"/>
  <c r="D26" i="9"/>
  <c r="D25" i="9"/>
  <c r="M24" i="9"/>
  <c r="AU24" i="9" s="1"/>
  <c r="M23" i="9"/>
  <c r="AU23" i="9" s="1"/>
  <c r="F22" i="9"/>
  <c r="AN22" i="9" s="1"/>
  <c r="M21" i="9"/>
  <c r="E21" i="9"/>
  <c r="C21" i="9" s="1"/>
  <c r="D32" i="9"/>
  <c r="M30" i="9"/>
  <c r="AU30" i="9" s="1"/>
  <c r="M29" i="9"/>
  <c r="AU29" i="9" s="1"/>
  <c r="F33" i="9"/>
  <c r="AN33" i="9" s="1"/>
  <c r="N20" i="9"/>
  <c r="D27" i="9"/>
  <c r="F25" i="9"/>
  <c r="AN25" i="9" s="1"/>
  <c r="E24" i="9"/>
  <c r="C24" i="9" s="1"/>
  <c r="AK24" i="9" s="1"/>
  <c r="E23" i="9"/>
  <c r="E29" i="9"/>
  <c r="D18" i="9"/>
  <c r="E17" i="9"/>
  <c r="C17" i="9" s="1"/>
  <c r="M22" i="9"/>
  <c r="C31" i="9"/>
  <c r="AK31" i="9" s="1"/>
  <c r="D30" i="9"/>
  <c r="D33" i="9"/>
  <c r="C29" i="9"/>
  <c r="AK29" i="9" s="1"/>
  <c r="M31" i="9"/>
  <c r="AU31" i="9" s="1"/>
  <c r="F30" i="9"/>
  <c r="AN30" i="9" s="1"/>
  <c r="M36" i="9"/>
  <c r="F28" i="9"/>
  <c r="AN28" i="9" s="1"/>
  <c r="F24" i="9"/>
  <c r="AN24" i="9" s="1"/>
  <c r="F46" i="9"/>
  <c r="M43" i="9"/>
  <c r="E43" i="9"/>
  <c r="E42" i="9"/>
  <c r="E41" i="9"/>
  <c r="E40" i="9"/>
  <c r="D45" i="9"/>
  <c r="F44" i="9"/>
  <c r="D40" i="9"/>
  <c r="D39" i="9"/>
  <c r="D38" i="9"/>
  <c r="D37" i="9"/>
  <c r="D36" i="9"/>
  <c r="G34" i="9"/>
  <c r="M42" i="9"/>
  <c r="M39" i="9"/>
  <c r="N34" i="9"/>
  <c r="D35" i="9"/>
  <c r="D44" i="9"/>
  <c r="M35" i="9"/>
  <c r="D42" i="9"/>
  <c r="D41" i="9"/>
  <c r="E38" i="9"/>
  <c r="C38" i="9" s="1"/>
  <c r="F36" i="9"/>
  <c r="D46" i="9"/>
  <c r="M40" i="9"/>
  <c r="F39" i="9"/>
  <c r="M37" i="9"/>
  <c r="E35" i="9"/>
  <c r="M41" i="9"/>
  <c r="E39" i="9"/>
  <c r="C39" i="9" s="1"/>
  <c r="Q34" i="9"/>
  <c r="M38" i="9"/>
  <c r="E37" i="9"/>
  <c r="E36" i="9"/>
  <c r="F40" i="9"/>
  <c r="C40" i="9"/>
  <c r="M45" i="9"/>
  <c r="E45" i="9"/>
  <c r="C45" i="9" s="1"/>
  <c r="M44" i="9"/>
  <c r="E44" i="9"/>
  <c r="J15" i="9"/>
  <c r="F43" i="9"/>
  <c r="F42" i="9"/>
  <c r="M46" i="9"/>
  <c r="E46" i="9"/>
  <c r="J34" i="9"/>
  <c r="F45" i="9"/>
  <c r="D43" i="9"/>
  <c r="F41" i="9"/>
  <c r="F37" i="9"/>
  <c r="M17" i="9"/>
  <c r="M19" i="9"/>
  <c r="C18" i="9"/>
  <c r="M18" i="9"/>
  <c r="D19" i="9"/>
  <c r="C19" i="9" s="1"/>
  <c r="F19" i="9"/>
  <c r="F17" i="9"/>
  <c r="W18" i="8"/>
  <c r="S13" i="8"/>
  <c r="T13" i="8"/>
  <c r="U13" i="8"/>
  <c r="W13" i="8"/>
  <c r="Y13" i="8"/>
  <c r="Z13" i="8"/>
  <c r="S14" i="8"/>
  <c r="T14" i="8"/>
  <c r="U14" i="8"/>
  <c r="W14" i="8"/>
  <c r="Y14" i="8"/>
  <c r="Z14" i="8"/>
  <c r="S15" i="8"/>
  <c r="T15" i="8"/>
  <c r="U15" i="8"/>
  <c r="W15" i="8"/>
  <c r="Y15" i="8"/>
  <c r="Z15" i="8"/>
  <c r="S16" i="8"/>
  <c r="T16" i="8"/>
  <c r="U16" i="8"/>
  <c r="W16" i="8"/>
  <c r="Y16" i="8"/>
  <c r="Z16" i="8"/>
  <c r="S17" i="8"/>
  <c r="T17" i="8"/>
  <c r="U17" i="8"/>
  <c r="W17" i="8"/>
  <c r="Y17" i="8"/>
  <c r="Z17" i="8"/>
  <c r="S18" i="8"/>
  <c r="T18" i="8"/>
  <c r="U18" i="8"/>
  <c r="Y18" i="8"/>
  <c r="Z18" i="8"/>
  <c r="S19" i="8"/>
  <c r="T19" i="8"/>
  <c r="U19" i="8"/>
  <c r="W19" i="8"/>
  <c r="Y19" i="8"/>
  <c r="Z19" i="8"/>
  <c r="S20" i="8"/>
  <c r="T20" i="8"/>
  <c r="U20" i="8"/>
  <c r="W20" i="8"/>
  <c r="Y20" i="8"/>
  <c r="Z20" i="8"/>
  <c r="S21" i="8"/>
  <c r="T21" i="8"/>
  <c r="U21" i="8"/>
  <c r="W21" i="8"/>
  <c r="Y21" i="8"/>
  <c r="Z21" i="8"/>
  <c r="S22" i="8"/>
  <c r="T22" i="8"/>
  <c r="U22" i="8"/>
  <c r="W22" i="8"/>
  <c r="Y22" i="8"/>
  <c r="Z22" i="8"/>
  <c r="S23" i="8"/>
  <c r="T23" i="8"/>
  <c r="U23" i="8"/>
  <c r="W23" i="8"/>
  <c r="Y23" i="8"/>
  <c r="Z23" i="8"/>
  <c r="S12" i="8"/>
  <c r="T12" i="8"/>
  <c r="U12" i="8"/>
  <c r="W12" i="8"/>
  <c r="Y12" i="8"/>
  <c r="Z12" i="8"/>
  <c r="Z11" i="8"/>
  <c r="Y11" i="8"/>
  <c r="W11" i="8"/>
  <c r="U11" i="8"/>
  <c r="T11" i="8"/>
  <c r="S11" i="8"/>
  <c r="D21" i="8"/>
  <c r="D19" i="8"/>
  <c r="D22" i="8"/>
  <c r="D20" i="8"/>
  <c r="D18" i="8"/>
  <c r="D13" i="8"/>
  <c r="D17" i="8"/>
  <c r="N15" i="9" l="1"/>
  <c r="AV20" i="9"/>
  <c r="AR15" i="9"/>
  <c r="J14" i="9"/>
  <c r="AR14" i="9" s="1"/>
  <c r="C33" i="9"/>
  <c r="AK33" i="9" s="1"/>
  <c r="AL33" i="9"/>
  <c r="C28" i="9"/>
  <c r="AK28" i="9" s="1"/>
  <c r="AL28" i="9"/>
  <c r="G15" i="9"/>
  <c r="AO20" i="9"/>
  <c r="AP15" i="9"/>
  <c r="H14" i="9"/>
  <c r="AP14" i="9" s="1"/>
  <c r="C30" i="9"/>
  <c r="AK30" i="9" s="1"/>
  <c r="AL30" i="9"/>
  <c r="C25" i="9"/>
  <c r="AK25" i="9" s="1"/>
  <c r="AL25" i="9"/>
  <c r="O14" i="9"/>
  <c r="AW14" i="9" s="1"/>
  <c r="AW15" i="9"/>
  <c r="C32" i="9"/>
  <c r="AK32" i="9" s="1"/>
  <c r="AL32" i="9"/>
  <c r="Q14" i="9"/>
  <c r="AY14" i="9" s="1"/>
  <c r="AY15" i="9"/>
  <c r="C27" i="9"/>
  <c r="AK27" i="9" s="1"/>
  <c r="AL27" i="9"/>
  <c r="C26" i="9"/>
  <c r="AK26" i="9" s="1"/>
  <c r="AL26" i="9"/>
  <c r="C23" i="9"/>
  <c r="AK23" i="9" s="1"/>
  <c r="AL23" i="9"/>
  <c r="C22" i="9"/>
  <c r="AK22" i="9" s="1"/>
  <c r="AL22" i="9"/>
  <c r="F20" i="9"/>
  <c r="AN20" i="9" s="1"/>
  <c r="C20" i="9"/>
  <c r="AK20" i="9" s="1"/>
  <c r="M20" i="9"/>
  <c r="E20" i="9"/>
  <c r="D20" i="9"/>
  <c r="AL20" i="9" s="1"/>
  <c r="C43" i="9"/>
  <c r="C35" i="9"/>
  <c r="C42" i="9"/>
  <c r="C41" i="9"/>
  <c r="C36" i="9"/>
  <c r="C37" i="9"/>
  <c r="M34" i="9"/>
  <c r="C44" i="9"/>
  <c r="D34" i="9"/>
  <c r="E34" i="9"/>
  <c r="C46" i="9"/>
  <c r="F34" i="9"/>
  <c r="D14" i="8"/>
  <c r="D23" i="8"/>
  <c r="D12" i="8"/>
  <c r="D16" i="8"/>
  <c r="I15" i="8"/>
  <c r="D15" i="8"/>
  <c r="M15" i="9" l="1"/>
  <c r="AU20" i="9"/>
  <c r="F15" i="9"/>
  <c r="G14" i="9"/>
  <c r="AO14" i="9" s="1"/>
  <c r="AO15" i="9"/>
  <c r="AV15" i="9"/>
  <c r="N14" i="9"/>
  <c r="AV14" i="9" s="1"/>
  <c r="C34" i="9"/>
  <c r="G12" i="8"/>
  <c r="Q23" i="8"/>
  <c r="Q12" i="8"/>
  <c r="Q14" i="8"/>
  <c r="Q21" i="8"/>
  <c r="O21" i="8" s="1"/>
  <c r="M21" i="8" s="1"/>
  <c r="K21" i="8" s="1"/>
  <c r="Q19" i="8"/>
  <c r="Q22" i="8"/>
  <c r="Q20" i="8"/>
  <c r="Q11" i="8" s="1"/>
  <c r="Q16" i="8"/>
  <c r="O16" i="8" s="1"/>
  <c r="Q17" i="8"/>
  <c r="O17" i="8" s="1"/>
  <c r="M17" i="8" s="1"/>
  <c r="K17" i="8" s="1"/>
  <c r="Q13" i="8"/>
  <c r="Q18" i="8"/>
  <c r="K15" i="8"/>
  <c r="O15" i="8"/>
  <c r="Q15" i="8"/>
  <c r="O13" i="8"/>
  <c r="M13" i="8" s="1"/>
  <c r="K13" i="8" s="1"/>
  <c r="O14" i="8"/>
  <c r="M14" i="8" s="1"/>
  <c r="K14" i="8" s="1"/>
  <c r="M15" i="8"/>
  <c r="O18" i="8"/>
  <c r="M18" i="8" s="1"/>
  <c r="K18" i="8" s="1"/>
  <c r="O19" i="8"/>
  <c r="M19" i="8" s="1"/>
  <c r="K19" i="8" s="1"/>
  <c r="O20" i="8"/>
  <c r="M20" i="8" s="1"/>
  <c r="K20" i="8" s="1"/>
  <c r="O22" i="8"/>
  <c r="M22" i="8" s="1"/>
  <c r="K22" i="8" s="1"/>
  <c r="O23" i="8"/>
  <c r="M23" i="8" s="1"/>
  <c r="K23" i="8" s="1"/>
  <c r="O12" i="8"/>
  <c r="M12" i="8" s="1"/>
  <c r="K12" i="8" s="1"/>
  <c r="G13" i="8"/>
  <c r="E13" i="8" s="1"/>
  <c r="C13" i="8" s="1"/>
  <c r="G14" i="8"/>
  <c r="E14" i="8" s="1"/>
  <c r="C14" i="8" s="1"/>
  <c r="G15" i="8"/>
  <c r="E15" i="8" s="1"/>
  <c r="C15" i="8" s="1"/>
  <c r="G16" i="8"/>
  <c r="G17" i="8"/>
  <c r="E17" i="8" s="1"/>
  <c r="C17" i="8" s="1"/>
  <c r="G18" i="8"/>
  <c r="E18" i="8" s="1"/>
  <c r="C18" i="8" s="1"/>
  <c r="G19" i="8"/>
  <c r="E19" i="8" s="1"/>
  <c r="C19" i="8" s="1"/>
  <c r="G20" i="8"/>
  <c r="E20" i="8" s="1"/>
  <c r="C20" i="8" s="1"/>
  <c r="G21" i="8"/>
  <c r="E21" i="8" s="1"/>
  <c r="C21" i="8" s="1"/>
  <c r="G22" i="8"/>
  <c r="E22" i="8" s="1"/>
  <c r="C22" i="8" s="1"/>
  <c r="G23" i="8"/>
  <c r="E23" i="8" s="1"/>
  <c r="C23" i="8" s="1"/>
  <c r="E12" i="8"/>
  <c r="C12" i="8" s="1"/>
  <c r="D11" i="8"/>
  <c r="F11" i="8"/>
  <c r="H11" i="8"/>
  <c r="I11" i="8"/>
  <c r="J11" i="8"/>
  <c r="L11" i="8"/>
  <c r="N11" i="8"/>
  <c r="P11" i="8"/>
  <c r="R11" i="8"/>
  <c r="E16" i="9"/>
  <c r="E15" i="9" s="1"/>
  <c r="D16" i="9"/>
  <c r="S13" i="7"/>
  <c r="S14" i="7"/>
  <c r="S15" i="7"/>
  <c r="S16" i="7"/>
  <c r="S17" i="7"/>
  <c r="S18" i="7"/>
  <c r="S19" i="7"/>
  <c r="S20" i="7"/>
  <c r="S21" i="7"/>
  <c r="S22" i="7"/>
  <c r="S23" i="7"/>
  <c r="N13" i="7"/>
  <c r="G13" i="7" s="1"/>
  <c r="N14" i="7"/>
  <c r="G14" i="7" s="1"/>
  <c r="N15" i="7"/>
  <c r="G15" i="7" s="1"/>
  <c r="N16" i="7"/>
  <c r="G16" i="7" s="1"/>
  <c r="N17" i="7"/>
  <c r="G17" i="7" s="1"/>
  <c r="N18" i="7"/>
  <c r="G18" i="7" s="1"/>
  <c r="N19" i="7"/>
  <c r="G19" i="7" s="1"/>
  <c r="N20" i="7"/>
  <c r="G20" i="7" s="1"/>
  <c r="N21" i="7"/>
  <c r="G21" i="7" s="1"/>
  <c r="N22" i="7"/>
  <c r="G22" i="7" s="1"/>
  <c r="N23" i="7"/>
  <c r="G23" i="7" s="1"/>
  <c r="N12" i="7"/>
  <c r="G12" i="7" s="1"/>
  <c r="F14" i="9" l="1"/>
  <c r="AN14" i="9" s="1"/>
  <c r="AN15" i="9"/>
  <c r="E14" i="9"/>
  <c r="AM14" i="9" s="1"/>
  <c r="AM15" i="9"/>
  <c r="M14" i="9"/>
  <c r="AU14" i="9" s="1"/>
  <c r="AU15" i="9"/>
  <c r="C16" i="9"/>
  <c r="C15" i="9" s="1"/>
  <c r="D15" i="9"/>
  <c r="G11" i="8"/>
  <c r="O11" i="8"/>
  <c r="M16" i="8"/>
  <c r="K16" i="8" s="1"/>
  <c r="K11" i="8" s="1"/>
  <c r="M11" i="8"/>
  <c r="E16" i="8"/>
  <c r="C16" i="8" s="1"/>
  <c r="C11" i="8"/>
  <c r="H10" i="3"/>
  <c r="C13" i="7"/>
  <c r="R13" i="7" s="1"/>
  <c r="C14" i="7"/>
  <c r="R14" i="7" s="1"/>
  <c r="C15" i="7"/>
  <c r="R15" i="7" s="1"/>
  <c r="C16" i="7"/>
  <c r="R16" i="7" s="1"/>
  <c r="C17" i="7"/>
  <c r="R17" i="7" s="1"/>
  <c r="C18" i="7"/>
  <c r="R18" i="7" s="1"/>
  <c r="C19" i="7"/>
  <c r="R19" i="7" s="1"/>
  <c r="C20" i="7"/>
  <c r="R20" i="7" s="1"/>
  <c r="C21" i="7"/>
  <c r="R21" i="7" s="1"/>
  <c r="C22" i="7"/>
  <c r="R22" i="7" s="1"/>
  <c r="C23" i="7"/>
  <c r="R23" i="7" s="1"/>
  <c r="C12" i="7"/>
  <c r="R12" i="7" s="1"/>
  <c r="D11" i="7"/>
  <c r="S11" i="7" s="1"/>
  <c r="E11" i="7"/>
  <c r="F11" i="7"/>
  <c r="K11" i="7"/>
  <c r="H11" i="7"/>
  <c r="I11" i="7"/>
  <c r="J11" i="7"/>
  <c r="L11" i="7"/>
  <c r="M11" i="7"/>
  <c r="N11" i="7"/>
  <c r="O11" i="7"/>
  <c r="P11" i="7"/>
  <c r="Q11" i="7"/>
  <c r="G11" i="7"/>
  <c r="W18" i="4"/>
  <c r="AL15" i="9" l="1"/>
  <c r="D14" i="9"/>
  <c r="AL14" i="9" s="1"/>
  <c r="C14" i="9"/>
  <c r="AK14" i="9" s="1"/>
  <c r="AK15" i="9"/>
  <c r="E11" i="8"/>
  <c r="C11" i="7"/>
  <c r="R11" i="7" s="1"/>
  <c r="I14" i="4"/>
  <c r="Q13" i="4" l="1"/>
  <c r="S13" i="4"/>
  <c r="T13" i="4"/>
  <c r="V13" i="4"/>
  <c r="W13" i="4"/>
  <c r="R14" i="4"/>
  <c r="S14" i="4"/>
  <c r="W14" i="4"/>
  <c r="Q15" i="4"/>
  <c r="S15" i="4"/>
  <c r="T15" i="4"/>
  <c r="V15" i="4"/>
  <c r="W15" i="4"/>
  <c r="Q16" i="4"/>
  <c r="S16" i="4"/>
  <c r="Q17" i="4"/>
  <c r="S17" i="4"/>
  <c r="W17" i="4"/>
  <c r="Q18" i="4"/>
  <c r="S18" i="4"/>
  <c r="Q19" i="4"/>
  <c r="S19" i="4"/>
  <c r="W19" i="4"/>
  <c r="Q20" i="4"/>
  <c r="S20" i="4"/>
  <c r="T20" i="4"/>
  <c r="V20" i="4"/>
  <c r="W20" i="4"/>
  <c r="Q21" i="4"/>
  <c r="S21" i="4"/>
  <c r="T21" i="4"/>
  <c r="V21" i="4"/>
  <c r="W21" i="4"/>
  <c r="Q22" i="4"/>
  <c r="S22" i="4"/>
  <c r="Q23" i="4"/>
  <c r="S23" i="4"/>
  <c r="W23" i="4"/>
  <c r="Q24" i="4"/>
  <c r="S24" i="4"/>
  <c r="W24" i="4"/>
  <c r="Q25" i="4"/>
  <c r="S25" i="4"/>
  <c r="Q26" i="4"/>
  <c r="S26" i="4"/>
  <c r="W26" i="4"/>
  <c r="Q27" i="4"/>
  <c r="S27" i="4"/>
  <c r="Q28" i="4"/>
  <c r="S28" i="4"/>
  <c r="Q29" i="4"/>
  <c r="S29" i="4"/>
  <c r="Q30" i="4"/>
  <c r="S30" i="4"/>
  <c r="Q31" i="4"/>
  <c r="S31" i="4"/>
  <c r="Q32" i="4"/>
  <c r="S32" i="4"/>
  <c r="W32" i="4"/>
  <c r="Q33" i="4"/>
  <c r="S33" i="4"/>
  <c r="Q34" i="4"/>
  <c r="S34" i="4"/>
  <c r="Q35" i="4"/>
  <c r="S35" i="4"/>
  <c r="Q36" i="4"/>
  <c r="S36" i="4"/>
  <c r="Q37" i="4"/>
  <c r="S37" i="4"/>
  <c r="Q38" i="4"/>
  <c r="S38" i="4"/>
  <c r="Q39" i="4"/>
  <c r="S39" i="4"/>
  <c r="W39" i="4"/>
  <c r="Q40" i="4"/>
  <c r="S40" i="4"/>
  <c r="Q41" i="4"/>
  <c r="S41" i="4"/>
  <c r="W41" i="4"/>
  <c r="Q42" i="4"/>
  <c r="S42" i="4"/>
  <c r="Q43" i="4"/>
  <c r="S43" i="4"/>
  <c r="Q44" i="4"/>
  <c r="S44" i="4"/>
  <c r="Q45" i="4"/>
  <c r="S45" i="4"/>
  <c r="Q46" i="4"/>
  <c r="S46" i="4"/>
  <c r="Q47" i="4"/>
  <c r="S47" i="4"/>
  <c r="Q48" i="4"/>
  <c r="S48" i="4"/>
  <c r="Q49" i="4"/>
  <c r="S49" i="4"/>
  <c r="Q50" i="4"/>
  <c r="S50" i="4"/>
  <c r="Q51" i="4"/>
  <c r="S51" i="4"/>
  <c r="Q52" i="4"/>
  <c r="S52" i="4"/>
  <c r="W52" i="4"/>
  <c r="Q53" i="4"/>
  <c r="S53" i="4"/>
  <c r="W53" i="4"/>
  <c r="Q54" i="4"/>
  <c r="S54" i="4"/>
  <c r="W54" i="4"/>
  <c r="Q55" i="4"/>
  <c r="S55" i="4"/>
  <c r="W55" i="4"/>
  <c r="Q56" i="4"/>
  <c r="S56" i="4"/>
  <c r="W56" i="4"/>
  <c r="Q57" i="4"/>
  <c r="S57" i="4"/>
  <c r="W57" i="4"/>
  <c r="Q58" i="4"/>
  <c r="S58" i="4"/>
  <c r="W58" i="4"/>
  <c r="Q59" i="4"/>
  <c r="S59" i="4"/>
  <c r="W59" i="4"/>
  <c r="Q60" i="4"/>
  <c r="S60" i="4"/>
  <c r="W60" i="4"/>
  <c r="Q61" i="4"/>
  <c r="S61" i="4"/>
  <c r="W61" i="4"/>
  <c r="Q62" i="4"/>
  <c r="S62" i="4"/>
  <c r="W62" i="4"/>
  <c r="Q63" i="4"/>
  <c r="S63" i="4"/>
  <c r="W63" i="4"/>
  <c r="Q64" i="4"/>
  <c r="S64" i="4"/>
  <c r="W64" i="4"/>
  <c r="Q65" i="4"/>
  <c r="S65" i="4"/>
  <c r="W65" i="4"/>
  <c r="Q66" i="4"/>
  <c r="S66" i="4"/>
  <c r="W66" i="4"/>
  <c r="Q67" i="4"/>
  <c r="S67" i="4"/>
  <c r="W67" i="4"/>
  <c r="Q68" i="4"/>
  <c r="S68" i="4"/>
  <c r="W68" i="4"/>
  <c r="Q69" i="4"/>
  <c r="S69" i="4"/>
  <c r="W69" i="4"/>
  <c r="Q70" i="4"/>
  <c r="S70" i="4"/>
  <c r="W70" i="4"/>
  <c r="Q71" i="4"/>
  <c r="S71" i="4"/>
  <c r="W71" i="4"/>
  <c r="Q72" i="4"/>
  <c r="S72" i="4"/>
  <c r="W72" i="4"/>
  <c r="Q73" i="4"/>
  <c r="S73" i="4"/>
  <c r="W73" i="4"/>
  <c r="Q74" i="4"/>
  <c r="S74" i="4"/>
  <c r="W74" i="4"/>
  <c r="Q75" i="4"/>
  <c r="S75" i="4"/>
  <c r="W75" i="4"/>
  <c r="Q76" i="4"/>
  <c r="S76" i="4"/>
  <c r="W76" i="4"/>
  <c r="Q77" i="4"/>
  <c r="S77" i="4"/>
  <c r="W77" i="4"/>
  <c r="Q78" i="4"/>
  <c r="S78" i="4"/>
  <c r="W78" i="4"/>
  <c r="Q79" i="4"/>
  <c r="S79" i="4"/>
  <c r="W79" i="4"/>
  <c r="Q80" i="4"/>
  <c r="S80" i="4"/>
  <c r="W80" i="4"/>
  <c r="Q81" i="4"/>
  <c r="S81" i="4"/>
  <c r="W81" i="4"/>
  <c r="Q82" i="4"/>
  <c r="S82" i="4"/>
  <c r="W82" i="4"/>
  <c r="Q83" i="4"/>
  <c r="S83" i="4"/>
  <c r="W83" i="4"/>
  <c r="Q84" i="4"/>
  <c r="S84" i="4"/>
  <c r="W84" i="4"/>
  <c r="Q85" i="4"/>
  <c r="S85" i="4"/>
  <c r="W85" i="4"/>
  <c r="Q86" i="4"/>
  <c r="S86" i="4"/>
  <c r="W86" i="4"/>
  <c r="Q87" i="4"/>
  <c r="S87" i="4"/>
  <c r="W87" i="4"/>
  <c r="Q88" i="4"/>
  <c r="S88" i="4"/>
  <c r="W88" i="4"/>
  <c r="Q89" i="4"/>
  <c r="S89" i="4"/>
  <c r="W89" i="4"/>
  <c r="Q90" i="4"/>
  <c r="S90" i="4"/>
  <c r="W90" i="4"/>
  <c r="Q91" i="4"/>
  <c r="S91" i="4"/>
  <c r="Q92" i="4"/>
  <c r="S92" i="4"/>
  <c r="Q93" i="4"/>
  <c r="S93" i="4"/>
  <c r="Q94" i="4"/>
  <c r="S94" i="4"/>
  <c r="Q95" i="4"/>
  <c r="S95" i="4"/>
  <c r="Q96" i="4"/>
  <c r="S96" i="4"/>
  <c r="Q97" i="4"/>
  <c r="S97" i="4"/>
  <c r="Q98" i="4"/>
  <c r="S98" i="4"/>
  <c r="Q99" i="4"/>
  <c r="S99" i="4"/>
  <c r="Q100" i="4"/>
  <c r="S100" i="4"/>
  <c r="Q101" i="4"/>
  <c r="S101" i="4"/>
  <c r="Q102" i="4"/>
  <c r="S102" i="4"/>
  <c r="Q103" i="4"/>
  <c r="S103" i="4"/>
  <c r="T103" i="4"/>
  <c r="U103" i="4"/>
  <c r="V103" i="4"/>
  <c r="W103" i="4"/>
  <c r="S104" i="4"/>
  <c r="U104" i="4"/>
  <c r="V104" i="4"/>
  <c r="W104" i="4"/>
  <c r="Q105" i="4"/>
  <c r="S105" i="4"/>
  <c r="T105" i="4"/>
  <c r="U105" i="4"/>
  <c r="V105" i="4"/>
  <c r="W105" i="4"/>
  <c r="S106" i="4"/>
  <c r="U106" i="4"/>
  <c r="V106" i="4"/>
  <c r="W106" i="4"/>
  <c r="S107" i="4"/>
  <c r="U107" i="4"/>
  <c r="V107" i="4"/>
  <c r="W107" i="4"/>
  <c r="Q108" i="4"/>
  <c r="R108" i="4"/>
  <c r="S108" i="4"/>
  <c r="T108" i="4"/>
  <c r="U108" i="4"/>
  <c r="V108" i="4"/>
  <c r="W108" i="4"/>
  <c r="R109" i="4"/>
  <c r="S109" i="4"/>
  <c r="T109" i="4"/>
  <c r="U109" i="4"/>
  <c r="V109" i="4"/>
  <c r="W109" i="4"/>
  <c r="Q110" i="4"/>
  <c r="R110" i="4"/>
  <c r="S110" i="4"/>
  <c r="T110" i="4"/>
  <c r="U110" i="4"/>
  <c r="V110" i="4"/>
  <c r="W110" i="4"/>
  <c r="Q111" i="4"/>
  <c r="R111" i="4"/>
  <c r="S111" i="4"/>
  <c r="T111" i="4"/>
  <c r="U111" i="4"/>
  <c r="V111" i="4"/>
  <c r="W111" i="4"/>
  <c r="Q112" i="4"/>
  <c r="R112" i="4"/>
  <c r="S112" i="4"/>
  <c r="T112" i="4"/>
  <c r="U112" i="4"/>
  <c r="V112" i="4"/>
  <c r="W112" i="4"/>
  <c r="R113" i="4"/>
  <c r="S113" i="4"/>
  <c r="U113" i="4"/>
  <c r="V113" i="4"/>
  <c r="W113" i="4"/>
  <c r="Q114" i="4"/>
  <c r="R114" i="4"/>
  <c r="S114" i="4"/>
  <c r="T114" i="4"/>
  <c r="U114" i="4"/>
  <c r="V114" i="4"/>
  <c r="W114" i="4"/>
  <c r="R10" i="4"/>
  <c r="S10" i="4"/>
  <c r="V10" i="4"/>
  <c r="R11" i="4"/>
  <c r="S11" i="4"/>
  <c r="V11" i="4"/>
  <c r="S12" i="4"/>
  <c r="W12" i="4"/>
  <c r="Q12" i="4"/>
  <c r="D10" i="4"/>
  <c r="E10" i="4"/>
  <c r="F10" i="4"/>
  <c r="G10" i="4"/>
  <c r="H10" i="4"/>
  <c r="K10" i="4"/>
  <c r="L10" i="4"/>
  <c r="O10" i="4"/>
  <c r="F115" i="4"/>
  <c r="F116" i="4"/>
  <c r="F117" i="4"/>
  <c r="F118" i="4"/>
  <c r="C118" i="4" s="1"/>
  <c r="C115" i="4"/>
  <c r="C116" i="4"/>
  <c r="C117" i="4"/>
  <c r="J25" i="4"/>
  <c r="C25" i="4"/>
  <c r="N11" i="4" l="1"/>
  <c r="O11" i="4"/>
  <c r="K14" i="4"/>
  <c r="I111" i="4"/>
  <c r="M103" i="4"/>
  <c r="J103" i="4" s="1"/>
  <c r="M104" i="4"/>
  <c r="T104" i="4" s="1"/>
  <c r="M105" i="4"/>
  <c r="J105" i="4" s="1"/>
  <c r="M106" i="4"/>
  <c r="M107" i="4"/>
  <c r="M108" i="4"/>
  <c r="J108" i="4" s="1"/>
  <c r="M109" i="4"/>
  <c r="J109" i="4" s="1"/>
  <c r="Q109" i="4" s="1"/>
  <c r="M110" i="4"/>
  <c r="J110" i="4" s="1"/>
  <c r="M111" i="4"/>
  <c r="J111" i="4" s="1"/>
  <c r="M112" i="4"/>
  <c r="J112" i="4" s="1"/>
  <c r="M113" i="4"/>
  <c r="M114" i="4"/>
  <c r="J114" i="4" s="1"/>
  <c r="J104" i="4"/>
  <c r="F103" i="4"/>
  <c r="F104" i="4"/>
  <c r="F105" i="4"/>
  <c r="F106" i="4"/>
  <c r="F107" i="4"/>
  <c r="C107" i="4" s="1"/>
  <c r="F108" i="4"/>
  <c r="C108" i="4" s="1"/>
  <c r="F109" i="4"/>
  <c r="C109" i="4" s="1"/>
  <c r="F110" i="4"/>
  <c r="F111" i="4"/>
  <c r="C111" i="4" s="1"/>
  <c r="F112" i="4"/>
  <c r="C112" i="4" s="1"/>
  <c r="F113" i="4"/>
  <c r="C113" i="4" s="1"/>
  <c r="F114" i="4"/>
  <c r="C114" i="4" s="1"/>
  <c r="C103" i="4"/>
  <c r="C104" i="4"/>
  <c r="C105" i="4"/>
  <c r="C106" i="4"/>
  <c r="C110" i="4"/>
  <c r="E90" i="4"/>
  <c r="E89" i="4"/>
  <c r="E88" i="4"/>
  <c r="E87" i="4"/>
  <c r="E86" i="4"/>
  <c r="E85" i="4"/>
  <c r="E84" i="4"/>
  <c r="E83" i="4"/>
  <c r="E82" i="4"/>
  <c r="E81" i="4"/>
  <c r="E80" i="4"/>
  <c r="E79" i="4"/>
  <c r="E78" i="4"/>
  <c r="E77" i="4"/>
  <c r="E76" i="4"/>
  <c r="E75" i="4"/>
  <c r="E74" i="4"/>
  <c r="E73" i="4"/>
  <c r="E72" i="4"/>
  <c r="E71" i="4"/>
  <c r="E70" i="4"/>
  <c r="E69" i="4"/>
  <c r="E68" i="4"/>
  <c r="E67" i="4"/>
  <c r="E66" i="4"/>
  <c r="E65" i="4"/>
  <c r="E64" i="4"/>
  <c r="E63" i="4"/>
  <c r="E62" i="4"/>
  <c r="E61" i="4"/>
  <c r="E60" i="4"/>
  <c r="J113" i="4" l="1"/>
  <c r="T113" i="4"/>
  <c r="Q113" i="4"/>
  <c r="J107" i="4"/>
  <c r="Q107" i="4" s="1"/>
  <c r="T107" i="4"/>
  <c r="J106" i="4"/>
  <c r="T106" i="4"/>
  <c r="Q106" i="4"/>
  <c r="Q104" i="4"/>
  <c r="U11" i="4"/>
  <c r="N10" i="4"/>
  <c r="U10" i="4" s="1"/>
  <c r="E59" i="4"/>
  <c r="E58" i="4"/>
  <c r="E57" i="4"/>
  <c r="E56" i="4"/>
  <c r="E55" i="4"/>
  <c r="E54" i="4"/>
  <c r="E53" i="4"/>
  <c r="E52" i="4"/>
  <c r="M22" i="4"/>
  <c r="M23" i="4"/>
  <c r="M24" i="4"/>
  <c r="M26" i="4"/>
  <c r="M27" i="4"/>
  <c r="M28" i="4"/>
  <c r="M29" i="4"/>
  <c r="M30" i="4"/>
  <c r="J30" i="4" s="1"/>
  <c r="M31" i="4"/>
  <c r="M32" i="4"/>
  <c r="M33" i="4"/>
  <c r="M34" i="4"/>
  <c r="J34" i="4" s="1"/>
  <c r="M35" i="4"/>
  <c r="M36" i="4"/>
  <c r="M37" i="4"/>
  <c r="M38" i="4"/>
  <c r="J38" i="4" s="1"/>
  <c r="M39" i="4"/>
  <c r="M40" i="4"/>
  <c r="M41" i="4"/>
  <c r="M42" i="4"/>
  <c r="J42" i="4" s="1"/>
  <c r="M43" i="4"/>
  <c r="M44" i="4"/>
  <c r="M45" i="4"/>
  <c r="M46" i="4"/>
  <c r="J46" i="4" s="1"/>
  <c r="M47" i="4"/>
  <c r="M48" i="4"/>
  <c r="M49" i="4"/>
  <c r="M50" i="4"/>
  <c r="J50" i="4" s="1"/>
  <c r="M51" i="4"/>
  <c r="M52" i="4"/>
  <c r="M53" i="4"/>
  <c r="M54" i="4"/>
  <c r="J54" i="4" s="1"/>
  <c r="M55" i="4"/>
  <c r="M56" i="4"/>
  <c r="M57" i="4"/>
  <c r="M58" i="4"/>
  <c r="J58" i="4" s="1"/>
  <c r="M59" i="4"/>
  <c r="M60" i="4"/>
  <c r="M61" i="4"/>
  <c r="M62" i="4"/>
  <c r="J62" i="4" s="1"/>
  <c r="M63" i="4"/>
  <c r="M64" i="4"/>
  <c r="M65" i="4"/>
  <c r="M66" i="4"/>
  <c r="J66" i="4" s="1"/>
  <c r="M67" i="4"/>
  <c r="M68" i="4"/>
  <c r="M69" i="4"/>
  <c r="M70" i="4"/>
  <c r="J70" i="4" s="1"/>
  <c r="M71" i="4"/>
  <c r="M72" i="4"/>
  <c r="M73" i="4"/>
  <c r="M74" i="4"/>
  <c r="J74" i="4" s="1"/>
  <c r="M75" i="4"/>
  <c r="M76" i="4"/>
  <c r="M77" i="4"/>
  <c r="M78" i="4"/>
  <c r="J78" i="4" s="1"/>
  <c r="M79" i="4"/>
  <c r="M80" i="4"/>
  <c r="M81" i="4"/>
  <c r="M82" i="4"/>
  <c r="J82" i="4" s="1"/>
  <c r="M83" i="4"/>
  <c r="M84" i="4"/>
  <c r="M85" i="4"/>
  <c r="M86" i="4"/>
  <c r="J86" i="4" s="1"/>
  <c r="M87" i="4"/>
  <c r="M88" i="4"/>
  <c r="M89" i="4"/>
  <c r="J89" i="4" s="1"/>
  <c r="M90" i="4"/>
  <c r="J90" i="4" s="1"/>
  <c r="M91" i="4"/>
  <c r="M92" i="4"/>
  <c r="M93" i="4"/>
  <c r="J93" i="4" s="1"/>
  <c r="M94" i="4"/>
  <c r="J94" i="4" s="1"/>
  <c r="M95" i="4"/>
  <c r="M96" i="4"/>
  <c r="M97" i="4"/>
  <c r="J97" i="4" s="1"/>
  <c r="M98" i="4"/>
  <c r="J98" i="4" s="1"/>
  <c r="M99" i="4"/>
  <c r="M100" i="4"/>
  <c r="M101" i="4"/>
  <c r="J101" i="4" s="1"/>
  <c r="M102" i="4"/>
  <c r="J102" i="4" s="1"/>
  <c r="J52" i="4"/>
  <c r="J53" i="4"/>
  <c r="J55" i="4"/>
  <c r="J56" i="4"/>
  <c r="J57" i="4"/>
  <c r="F52" i="4"/>
  <c r="F53" i="4"/>
  <c r="C53" i="4" s="1"/>
  <c r="F54" i="4"/>
  <c r="C54" i="4" s="1"/>
  <c r="F55" i="4"/>
  <c r="C55" i="4" s="1"/>
  <c r="F56" i="4"/>
  <c r="C56" i="4" s="1"/>
  <c r="C57" i="4"/>
  <c r="F57" i="4"/>
  <c r="F58" i="4"/>
  <c r="C58" i="4" s="1"/>
  <c r="C59" i="4"/>
  <c r="F59" i="4"/>
  <c r="J59" i="4"/>
  <c r="F60" i="4"/>
  <c r="C60" i="4" s="1"/>
  <c r="J60" i="4"/>
  <c r="C61" i="4"/>
  <c r="F61" i="4"/>
  <c r="J61" i="4"/>
  <c r="F62" i="4"/>
  <c r="C62" i="4" s="1"/>
  <c r="C63" i="4"/>
  <c r="F63" i="4"/>
  <c r="J63" i="4"/>
  <c r="F64" i="4"/>
  <c r="C64" i="4" s="1"/>
  <c r="J64" i="4"/>
  <c r="F65" i="4"/>
  <c r="C65" i="4" s="1"/>
  <c r="J65" i="4"/>
  <c r="F66" i="4"/>
  <c r="C66" i="4" s="1"/>
  <c r="F67" i="4"/>
  <c r="C67" i="4" s="1"/>
  <c r="J67" i="4"/>
  <c r="F68" i="4"/>
  <c r="C68" i="4" s="1"/>
  <c r="J68" i="4"/>
  <c r="F69" i="4"/>
  <c r="C69" i="4" s="1"/>
  <c r="J69" i="4"/>
  <c r="F70" i="4"/>
  <c r="C70" i="4" s="1"/>
  <c r="F71" i="4"/>
  <c r="C71" i="4" s="1"/>
  <c r="J71" i="4"/>
  <c r="F72" i="4"/>
  <c r="C72" i="4" s="1"/>
  <c r="J72" i="4"/>
  <c r="C73" i="4"/>
  <c r="F73" i="4"/>
  <c r="J73" i="4"/>
  <c r="F74" i="4"/>
  <c r="C74" i="4" s="1"/>
  <c r="C75" i="4"/>
  <c r="F75" i="4"/>
  <c r="J75" i="4"/>
  <c r="F76" i="4"/>
  <c r="C76" i="4" s="1"/>
  <c r="J76" i="4"/>
  <c r="F77" i="4"/>
  <c r="C77" i="4" s="1"/>
  <c r="J77" i="4"/>
  <c r="F78" i="4"/>
  <c r="C78" i="4" s="1"/>
  <c r="F79" i="4"/>
  <c r="C79" i="4" s="1"/>
  <c r="J79" i="4"/>
  <c r="F80" i="4"/>
  <c r="C80" i="4" s="1"/>
  <c r="J80" i="4"/>
  <c r="C81" i="4"/>
  <c r="F81" i="4"/>
  <c r="J81" i="4"/>
  <c r="F82" i="4"/>
  <c r="C82" i="4" s="1"/>
  <c r="F83" i="4"/>
  <c r="C83" i="4" s="1"/>
  <c r="J83" i="4"/>
  <c r="F84" i="4"/>
  <c r="C84" i="4" s="1"/>
  <c r="J84" i="4"/>
  <c r="F85" i="4"/>
  <c r="C85" i="4" s="1"/>
  <c r="J85" i="4"/>
  <c r="F86" i="4"/>
  <c r="C86" i="4" s="1"/>
  <c r="F87" i="4"/>
  <c r="C87" i="4" s="1"/>
  <c r="J87" i="4"/>
  <c r="F88" i="4"/>
  <c r="C88" i="4" s="1"/>
  <c r="J88" i="4"/>
  <c r="F89" i="4"/>
  <c r="C89" i="4" s="1"/>
  <c r="F90" i="4"/>
  <c r="C90" i="4" s="1"/>
  <c r="F91" i="4"/>
  <c r="C91" i="4" s="1"/>
  <c r="J91" i="4"/>
  <c r="F92" i="4"/>
  <c r="C92" i="4" s="1"/>
  <c r="J92" i="4"/>
  <c r="F93" i="4"/>
  <c r="C93" i="4" s="1"/>
  <c r="F94" i="4"/>
  <c r="C94" i="4" s="1"/>
  <c r="F95" i="4"/>
  <c r="C95" i="4" s="1"/>
  <c r="J95" i="4"/>
  <c r="F96" i="4"/>
  <c r="C96" i="4" s="1"/>
  <c r="J96" i="4"/>
  <c r="F97" i="4"/>
  <c r="C97" i="4" s="1"/>
  <c r="F98" i="4"/>
  <c r="C98" i="4" s="1"/>
  <c r="F99" i="4"/>
  <c r="C99" i="4" s="1"/>
  <c r="J99" i="4"/>
  <c r="F100" i="4"/>
  <c r="C100" i="4" s="1"/>
  <c r="J100" i="4"/>
  <c r="F101" i="4"/>
  <c r="C101" i="4" s="1"/>
  <c r="F102" i="4"/>
  <c r="C102" i="4" s="1"/>
  <c r="L21" i="4"/>
  <c r="E21" i="4"/>
  <c r="E39" i="4"/>
  <c r="F39" i="4"/>
  <c r="F41" i="4"/>
  <c r="C41" i="4" s="1"/>
  <c r="F33" i="4"/>
  <c r="C33" i="4" s="1"/>
  <c r="F34" i="4"/>
  <c r="C34" i="4" s="1"/>
  <c r="F35" i="4"/>
  <c r="C35" i="4" s="1"/>
  <c r="F36" i="4"/>
  <c r="C36" i="4" s="1"/>
  <c r="F37" i="4"/>
  <c r="C37" i="4" s="1"/>
  <c r="F38" i="4"/>
  <c r="C38" i="4" s="1"/>
  <c r="F42" i="4"/>
  <c r="C42" i="4" s="1"/>
  <c r="F43" i="4"/>
  <c r="F44" i="4"/>
  <c r="C44" i="4" s="1"/>
  <c r="F45" i="4"/>
  <c r="C45" i="4" s="1"/>
  <c r="F46" i="4"/>
  <c r="C46" i="4" s="1"/>
  <c r="F47" i="4"/>
  <c r="C47" i="4" s="1"/>
  <c r="F48" i="4"/>
  <c r="C48" i="4" s="1"/>
  <c r="F49" i="4"/>
  <c r="C49" i="4" s="1"/>
  <c r="F50" i="4"/>
  <c r="C50" i="4" s="1"/>
  <c r="F51" i="4"/>
  <c r="C51" i="4" s="1"/>
  <c r="C43" i="4"/>
  <c r="J39" i="4"/>
  <c r="J41" i="4"/>
  <c r="J33" i="4"/>
  <c r="J35" i="4"/>
  <c r="J36" i="4"/>
  <c r="J37" i="4"/>
  <c r="J43" i="4"/>
  <c r="J44" i="4"/>
  <c r="J45" i="4"/>
  <c r="J47" i="4"/>
  <c r="J48" i="4"/>
  <c r="J49" i="4"/>
  <c r="J51" i="4"/>
  <c r="E31" i="4"/>
  <c r="J32" i="4"/>
  <c r="L31" i="4"/>
  <c r="J31" i="4" s="1"/>
  <c r="J29" i="4"/>
  <c r="F32" i="4"/>
  <c r="C32" i="4" s="1"/>
  <c r="P26" i="4"/>
  <c r="J26" i="4" s="1"/>
  <c r="E26" i="4"/>
  <c r="K11" i="4"/>
  <c r="P23" i="4"/>
  <c r="J23" i="4" s="1"/>
  <c r="J24" i="4"/>
  <c r="J40" i="4"/>
  <c r="J27" i="4"/>
  <c r="J28" i="4"/>
  <c r="E20" i="4"/>
  <c r="H20" i="4"/>
  <c r="L11" i="4" l="1"/>
  <c r="C52" i="4"/>
  <c r="C39" i="4"/>
  <c r="J22" i="4"/>
  <c r="E17" i="4"/>
  <c r="M16" i="4"/>
  <c r="J16" i="4" s="1"/>
  <c r="M17" i="4"/>
  <c r="J17" i="4" s="1"/>
  <c r="M18" i="4"/>
  <c r="J18" i="4" s="1"/>
  <c r="M19" i="4"/>
  <c r="J19" i="4" s="1"/>
  <c r="M20" i="4"/>
  <c r="J20" i="4" s="1"/>
  <c r="M21" i="4"/>
  <c r="J21" i="4" s="1"/>
  <c r="M15" i="4"/>
  <c r="J15" i="4" s="1"/>
  <c r="P14" i="4"/>
  <c r="P11" i="4" s="1"/>
  <c r="P10" i="4" s="1"/>
  <c r="M13" i="4"/>
  <c r="J13" i="4" s="1"/>
  <c r="M14" i="4"/>
  <c r="M12" i="4"/>
  <c r="F14" i="4"/>
  <c r="C14" i="4" s="1"/>
  <c r="J12" i="4" l="1"/>
  <c r="M11" i="4"/>
  <c r="J14" i="4"/>
  <c r="Q14" i="4" s="1"/>
  <c r="T11" i="4" l="1"/>
  <c r="M10" i="4"/>
  <c r="T10" i="4" s="1"/>
  <c r="J11" i="4"/>
  <c r="J10" i="4" s="1"/>
  <c r="D11" i="4"/>
  <c r="E11" i="4"/>
  <c r="G11" i="4"/>
  <c r="H11" i="4"/>
  <c r="I11" i="4"/>
  <c r="F13" i="4"/>
  <c r="C13" i="4" s="1"/>
  <c r="F16" i="4"/>
  <c r="C16" i="4" s="1"/>
  <c r="F17" i="4"/>
  <c r="C17" i="4" s="1"/>
  <c r="F18" i="4"/>
  <c r="C18" i="4" s="1"/>
  <c r="F15" i="4"/>
  <c r="C15" i="4" s="1"/>
  <c r="F19" i="4"/>
  <c r="C19" i="4" s="1"/>
  <c r="F20" i="4"/>
  <c r="C20" i="4" s="1"/>
  <c r="F21" i="4"/>
  <c r="C21" i="4" s="1"/>
  <c r="F22" i="4"/>
  <c r="C22" i="4" s="1"/>
  <c r="F23" i="4"/>
  <c r="C23" i="4" s="1"/>
  <c r="F24" i="4"/>
  <c r="C24" i="4" s="1"/>
  <c r="F40" i="4"/>
  <c r="C40" i="4" s="1"/>
  <c r="F26" i="4"/>
  <c r="C26" i="4" s="1"/>
  <c r="F27" i="4"/>
  <c r="C27" i="4" s="1"/>
  <c r="F28" i="4"/>
  <c r="C28" i="4" s="1"/>
  <c r="F29" i="4"/>
  <c r="C29" i="4" s="1"/>
  <c r="F30" i="4"/>
  <c r="C30" i="4" s="1"/>
  <c r="F31" i="4"/>
  <c r="C31" i="4" s="1"/>
  <c r="F12" i="4"/>
  <c r="C12" i="4" s="1"/>
  <c r="I47" i="3"/>
  <c r="J47" i="3"/>
  <c r="I48" i="3"/>
  <c r="J48" i="3"/>
  <c r="I49" i="3"/>
  <c r="J49" i="3"/>
  <c r="I50" i="3"/>
  <c r="J50" i="3"/>
  <c r="I51" i="3"/>
  <c r="J51" i="3"/>
  <c r="I52" i="3"/>
  <c r="J52" i="3"/>
  <c r="E21" i="3"/>
  <c r="D21" i="3"/>
  <c r="G10" i="3"/>
  <c r="G12" i="3"/>
  <c r="H12" i="3"/>
  <c r="H11" i="3" s="1"/>
  <c r="F12" i="3"/>
  <c r="F11" i="3" s="1"/>
  <c r="G11" i="3"/>
  <c r="F24" i="3"/>
  <c r="F23" i="3"/>
  <c r="C24" i="3"/>
  <c r="C23" i="3"/>
  <c r="I10" i="4" l="1"/>
  <c r="W10" i="4" s="1"/>
  <c r="W11" i="4"/>
  <c r="C11" i="4"/>
  <c r="F11" i="4"/>
  <c r="F13" i="3"/>
  <c r="E49" i="3"/>
  <c r="F49" i="3"/>
  <c r="G49" i="3"/>
  <c r="H49" i="3"/>
  <c r="C10" i="4" l="1"/>
  <c r="Q10" i="4" s="1"/>
  <c r="Q11" i="4"/>
  <c r="D49" i="3"/>
  <c r="C49" i="3"/>
  <c r="F51" i="3"/>
  <c r="F52" i="3"/>
  <c r="F53" i="3"/>
  <c r="C51" i="3"/>
  <c r="C52" i="3"/>
  <c r="C53" i="3"/>
  <c r="D47" i="3"/>
  <c r="E47" i="3"/>
  <c r="G47" i="3"/>
  <c r="H47" i="3"/>
  <c r="D45" i="3"/>
  <c r="E45" i="3"/>
  <c r="E44" i="3" s="1"/>
  <c r="G45" i="3"/>
  <c r="H45" i="3"/>
  <c r="H44" i="3"/>
  <c r="D29" i="3"/>
  <c r="E29" i="3"/>
  <c r="G29" i="3"/>
  <c r="H29" i="3"/>
  <c r="D35" i="3"/>
  <c r="E35" i="3"/>
  <c r="G35" i="3"/>
  <c r="H35" i="3"/>
  <c r="C46" i="3"/>
  <c r="F46" i="3"/>
  <c r="F45" i="3" s="1"/>
  <c r="C48" i="3"/>
  <c r="C47" i="3" s="1"/>
  <c r="F48" i="3"/>
  <c r="F47" i="3" s="1"/>
  <c r="C50" i="3"/>
  <c r="F50" i="3"/>
  <c r="C38" i="3"/>
  <c r="F38" i="3"/>
  <c r="C39" i="3"/>
  <c r="F39" i="3"/>
  <c r="C40" i="3"/>
  <c r="F40" i="3"/>
  <c r="C41" i="3"/>
  <c r="F41" i="3"/>
  <c r="C42" i="3"/>
  <c r="F42" i="3"/>
  <c r="C43" i="3"/>
  <c r="F43" i="3"/>
  <c r="C31" i="3"/>
  <c r="F31" i="3"/>
  <c r="C32" i="3"/>
  <c r="F32" i="3"/>
  <c r="C33" i="3"/>
  <c r="F33" i="3"/>
  <c r="C34" i="3"/>
  <c r="F34" i="3"/>
  <c r="C36" i="3"/>
  <c r="F36" i="3"/>
  <c r="C37" i="3"/>
  <c r="F37" i="3"/>
  <c r="F30" i="3"/>
  <c r="C30" i="3"/>
  <c r="E11" i="3"/>
  <c r="C21" i="3"/>
  <c r="J40" i="2"/>
  <c r="C29" i="2"/>
  <c r="J39" i="2"/>
  <c r="J47" i="2"/>
  <c r="C45" i="3" l="1"/>
  <c r="G28" i="3"/>
  <c r="H28" i="3"/>
  <c r="H27" i="3" s="1"/>
  <c r="E28" i="3"/>
  <c r="E27" i="3" s="1"/>
  <c r="E10" i="3" s="1"/>
  <c r="F29" i="3"/>
  <c r="F35" i="3"/>
  <c r="D28" i="3"/>
  <c r="C35" i="3"/>
  <c r="C29" i="3"/>
  <c r="D44" i="3"/>
  <c r="C44" i="3"/>
  <c r="G44" i="3"/>
  <c r="G27" i="3" s="1"/>
  <c r="F44" i="3"/>
  <c r="D27" i="3" l="1"/>
  <c r="F28" i="3"/>
  <c r="F27" i="3" s="1"/>
  <c r="C28" i="3"/>
  <c r="C27" i="3" s="1"/>
  <c r="F55" i="3" l="1"/>
  <c r="F10" i="3" s="1"/>
  <c r="C25" i="3"/>
  <c r="C26" i="3"/>
  <c r="C11" i="3" s="1"/>
  <c r="C10" i="3" s="1"/>
  <c r="D26" i="3"/>
  <c r="D11" i="3" s="1"/>
  <c r="D10" i="3" s="1"/>
  <c r="C13" i="3" l="1"/>
  <c r="C12" i="3" s="1"/>
  <c r="D12" i="3"/>
  <c r="D13" i="3"/>
  <c r="E12" i="3" l="1"/>
  <c r="C20" i="3"/>
  <c r="C16" i="3"/>
  <c r="C15" i="3"/>
  <c r="C18" i="3"/>
  <c r="C19" i="3"/>
  <c r="F19" i="3" l="1"/>
  <c r="F18" i="3"/>
  <c r="F16" i="3"/>
  <c r="F15" i="3"/>
  <c r="F54" i="3" l="1"/>
  <c r="G54" i="3"/>
  <c r="I37" i="3"/>
  <c r="J37" i="3"/>
  <c r="I38" i="3"/>
  <c r="J38" i="3"/>
  <c r="I39" i="3"/>
  <c r="J39" i="3"/>
  <c r="I40" i="3"/>
  <c r="K40" i="3"/>
  <c r="I41" i="3"/>
  <c r="K41" i="3"/>
  <c r="I42" i="3"/>
  <c r="J42" i="3"/>
  <c r="K42" i="3"/>
  <c r="I43" i="3"/>
  <c r="J43" i="3"/>
  <c r="K43" i="3"/>
  <c r="I35" i="3"/>
  <c r="J35" i="3"/>
  <c r="K35" i="3"/>
  <c r="I36" i="3"/>
  <c r="J36" i="3"/>
  <c r="K36" i="3"/>
  <c r="I31" i="3"/>
  <c r="J31" i="3"/>
  <c r="K31" i="3"/>
  <c r="I32" i="3"/>
  <c r="K32" i="3"/>
  <c r="I33" i="3"/>
  <c r="J33" i="3"/>
  <c r="K33" i="3"/>
  <c r="J19" i="3"/>
  <c r="I19" i="3"/>
  <c r="K18" i="3"/>
  <c r="J18" i="3"/>
  <c r="I18" i="3"/>
  <c r="I11" i="3"/>
  <c r="J11" i="3"/>
  <c r="K11" i="3"/>
  <c r="I12" i="3"/>
  <c r="J12" i="3"/>
  <c r="K12" i="3"/>
  <c r="I13" i="3"/>
  <c r="J13" i="3"/>
  <c r="K13" i="3"/>
  <c r="I15" i="3"/>
  <c r="J15" i="3"/>
  <c r="I21" i="3"/>
  <c r="J21" i="3"/>
  <c r="K21" i="3"/>
  <c r="I23" i="3"/>
  <c r="J23" i="3"/>
  <c r="I24" i="3"/>
  <c r="J24" i="3"/>
  <c r="I27" i="3"/>
  <c r="J27" i="3"/>
  <c r="K27" i="3"/>
  <c r="I28" i="3"/>
  <c r="J28" i="3"/>
  <c r="K28" i="3"/>
  <c r="I29" i="3"/>
  <c r="J29" i="3"/>
  <c r="K29" i="3"/>
  <c r="I34" i="3"/>
  <c r="J34" i="3"/>
  <c r="K34" i="3"/>
  <c r="I44" i="3"/>
  <c r="J44" i="3"/>
  <c r="I53" i="3"/>
  <c r="J53" i="3"/>
  <c r="K10" i="3"/>
  <c r="J10" i="3"/>
  <c r="I10" i="3"/>
  <c r="C10" i="2"/>
  <c r="F30" i="2"/>
  <c r="F31" i="2"/>
  <c r="F32" i="2"/>
  <c r="F34" i="2"/>
  <c r="F35" i="2"/>
  <c r="F36" i="2"/>
  <c r="F37" i="2"/>
  <c r="F38" i="2"/>
  <c r="F39" i="2"/>
  <c r="F40" i="2"/>
  <c r="F41" i="2"/>
  <c r="F29" i="2"/>
  <c r="E30" i="2"/>
  <c r="E31" i="2"/>
  <c r="E32" i="2"/>
  <c r="E34" i="2"/>
  <c r="E35" i="2"/>
  <c r="E36" i="2"/>
  <c r="E37" i="2"/>
  <c r="E38" i="2"/>
  <c r="E28" i="2" s="1"/>
  <c r="E39" i="2"/>
  <c r="E40" i="2"/>
  <c r="E41" i="2"/>
  <c r="D28" i="2"/>
  <c r="F28" i="2" s="1"/>
  <c r="E29" i="2"/>
  <c r="E14" i="2"/>
  <c r="E47" i="2"/>
  <c r="E46" i="2"/>
  <c r="F19" i="2"/>
  <c r="F21" i="2"/>
  <c r="F23" i="2"/>
  <c r="F24" i="2"/>
  <c r="F27" i="2"/>
  <c r="F14" i="2"/>
  <c r="F10" i="2"/>
  <c r="E10" i="2"/>
  <c r="I28" i="2"/>
  <c r="G17" i="2"/>
  <c r="K38" i="2"/>
  <c r="K39" i="2"/>
  <c r="I30" i="2" l="1"/>
  <c r="I31" i="2"/>
  <c r="I32" i="2"/>
  <c r="I33" i="2"/>
  <c r="I34" i="2"/>
  <c r="I35" i="2"/>
  <c r="I36" i="2"/>
  <c r="I37" i="2"/>
  <c r="I38" i="2"/>
  <c r="I39" i="2"/>
  <c r="I40" i="2"/>
  <c r="I41" i="2"/>
  <c r="I29" i="2"/>
  <c r="C30" i="2"/>
  <c r="C31" i="2"/>
  <c r="C32" i="2"/>
  <c r="C34" i="2"/>
  <c r="C35" i="2"/>
  <c r="C36" i="2"/>
  <c r="C37" i="2"/>
  <c r="C38" i="2"/>
  <c r="C39" i="2"/>
  <c r="C40" i="2"/>
  <c r="C41" i="2"/>
  <c r="J28" i="2"/>
  <c r="K28" i="2"/>
  <c r="J38" i="2"/>
  <c r="J29" i="2"/>
  <c r="G28" i="2" l="1"/>
  <c r="G41" i="2"/>
  <c r="G40" i="2"/>
  <c r="G39" i="2"/>
  <c r="G38" i="2"/>
  <c r="G36" i="2"/>
  <c r="G35" i="2"/>
  <c r="G32" i="2"/>
  <c r="G31" i="2"/>
  <c r="H28" i="2"/>
  <c r="I45" i="2" l="1"/>
  <c r="H38" i="2"/>
  <c r="H31" i="2"/>
  <c r="H40" i="2"/>
  <c r="H35" i="2"/>
  <c r="H39" i="2"/>
  <c r="C28" i="2"/>
  <c r="E18" i="2"/>
  <c r="E13" i="2" s="1"/>
  <c r="E19" i="2"/>
  <c r="E21" i="2"/>
  <c r="E23" i="2"/>
  <c r="E24" i="2"/>
  <c r="D13" i="2"/>
  <c r="D12" i="2" l="1"/>
  <c r="D11" i="2" s="1"/>
  <c r="D9" i="2" s="1"/>
  <c r="E12" i="2"/>
  <c r="E11" i="2" s="1"/>
  <c r="E9" i="2" s="1"/>
  <c r="C13" i="2" l="1"/>
  <c r="E23" i="1"/>
  <c r="E25" i="1"/>
  <c r="E26" i="1"/>
  <c r="E27" i="1"/>
  <c r="E28" i="1"/>
  <c r="E29" i="1"/>
  <c r="E30" i="1"/>
  <c r="E31" i="1"/>
  <c r="E32" i="1"/>
  <c r="E33" i="1"/>
  <c r="E34" i="1"/>
  <c r="E35" i="1"/>
  <c r="E36" i="1"/>
  <c r="E37" i="1"/>
  <c r="E39" i="1"/>
  <c r="E41" i="1"/>
  <c r="E42" i="1"/>
  <c r="D9" i="1"/>
  <c r="D45" i="1"/>
  <c r="C9" i="1"/>
  <c r="D10" i="1"/>
  <c r="D12" i="1"/>
  <c r="C30" i="1"/>
  <c r="F13" i="2" l="1"/>
  <c r="C12" i="2"/>
  <c r="F12" i="2" s="1"/>
  <c r="C11" i="2" l="1"/>
  <c r="C9" i="2" s="1"/>
  <c r="C25" i="1"/>
  <c r="C10" i="1"/>
  <c r="C13" i="1"/>
  <c r="F11" i="2" l="1"/>
  <c r="G12" i="2"/>
  <c r="F9" i="2"/>
  <c r="D29" i="1"/>
  <c r="D22" i="1" s="1"/>
  <c r="C29" i="1"/>
  <c r="D23" i="1"/>
  <c r="C23" i="1"/>
  <c r="D43" i="1"/>
  <c r="C43" i="1"/>
  <c r="D41" i="1"/>
  <c r="C41" i="1"/>
  <c r="D39" i="1"/>
  <c r="C39" i="1"/>
  <c r="D38" i="1" l="1"/>
  <c r="D21" i="1" s="1"/>
  <c r="C38" i="1"/>
  <c r="C22" i="1"/>
  <c r="C21" i="1" s="1"/>
  <c r="E38" i="1" l="1"/>
  <c r="E19" i="1"/>
  <c r="E20" i="1"/>
  <c r="E21" i="1"/>
  <c r="E22" i="1"/>
  <c r="E40" i="1"/>
  <c r="E17" i="1"/>
  <c r="E18" i="1"/>
  <c r="E16" i="1"/>
  <c r="E12" i="1"/>
  <c r="E13" i="1"/>
  <c r="E15" i="1"/>
  <c r="E10" i="1"/>
  <c r="E11" i="1"/>
  <c r="E9" i="1"/>
  <c r="D32" i="10"/>
  <c r="H51" i="12" l="1"/>
  <c r="G51" i="12"/>
  <c r="G47" i="12"/>
  <c r="H46" i="12"/>
  <c r="G46" i="12"/>
  <c r="G39" i="12"/>
  <c r="H39" i="12"/>
  <c r="G40" i="12"/>
  <c r="H40" i="12"/>
  <c r="H38" i="12"/>
  <c r="G38" i="12"/>
  <c r="H37" i="12"/>
  <c r="G37" i="12"/>
  <c r="G34" i="12"/>
  <c r="G35" i="12"/>
  <c r="G33" i="12"/>
  <c r="G32" i="12"/>
  <c r="H30" i="12"/>
  <c r="G30" i="12"/>
  <c r="G29" i="12"/>
  <c r="H28" i="12"/>
  <c r="G28" i="12"/>
  <c r="G25" i="12"/>
  <c r="H25" i="12"/>
  <c r="G26" i="12"/>
  <c r="H26" i="12"/>
  <c r="G27" i="12"/>
  <c r="H27" i="12"/>
  <c r="H24" i="12"/>
  <c r="G24" i="12"/>
  <c r="H14" i="12"/>
  <c r="G14" i="12"/>
  <c r="H19" i="12"/>
  <c r="G19" i="12"/>
  <c r="H18" i="12"/>
  <c r="G18" i="12"/>
  <c r="G17" i="12"/>
  <c r="H17" i="12"/>
  <c r="D33" i="12"/>
  <c r="H33" i="12" s="1"/>
  <c r="C31" i="12"/>
  <c r="F23" i="12" l="1"/>
  <c r="J36" i="12"/>
  <c r="I36" i="12"/>
  <c r="D44" i="12"/>
  <c r="D43" i="12" l="1"/>
  <c r="H43" i="12" s="1"/>
  <c r="H44" i="12"/>
  <c r="D33" i="10" l="1"/>
  <c r="D31" i="10"/>
  <c r="D24" i="10" s="1"/>
  <c r="F30" i="10"/>
  <c r="F27" i="10"/>
  <c r="F14" i="10"/>
  <c r="F16" i="10"/>
  <c r="F17" i="10"/>
  <c r="F13" i="10"/>
  <c r="D23" i="10"/>
  <c r="F24" i="10" l="1"/>
  <c r="D22" i="10"/>
  <c r="F31" i="10"/>
  <c r="C24" i="10"/>
  <c r="C23" i="10"/>
  <c r="F23" i="10" s="1"/>
  <c r="F63" i="12" l="1"/>
  <c r="F62" i="12"/>
  <c r="J60" i="12"/>
  <c r="I60" i="12"/>
  <c r="A55" i="12"/>
  <c r="A56" i="12" s="1"/>
  <c r="A57" i="12" s="1"/>
  <c r="A58" i="12" s="1"/>
  <c r="A59" i="12" s="1"/>
  <c r="J53" i="12"/>
  <c r="I53" i="12"/>
  <c r="J52" i="12"/>
  <c r="I52" i="12"/>
  <c r="C44" i="12"/>
  <c r="G44" i="12" s="1"/>
  <c r="J43" i="12"/>
  <c r="I43" i="12"/>
  <c r="J39" i="12"/>
  <c r="I39" i="12"/>
  <c r="J38" i="12"/>
  <c r="I38" i="12"/>
  <c r="J37" i="12"/>
  <c r="I37" i="12"/>
  <c r="J35" i="12"/>
  <c r="I35" i="12"/>
  <c r="F35" i="12"/>
  <c r="H35" i="12" s="1"/>
  <c r="J34" i="12"/>
  <c r="I34" i="12"/>
  <c r="F34" i="12"/>
  <c r="H34" i="12" s="1"/>
  <c r="J33" i="12"/>
  <c r="I33" i="12"/>
  <c r="J32" i="12"/>
  <c r="I32" i="12"/>
  <c r="J31" i="12"/>
  <c r="I31" i="12"/>
  <c r="E31" i="12"/>
  <c r="D31" i="12"/>
  <c r="D12" i="12" s="1"/>
  <c r="J30" i="12"/>
  <c r="I30" i="12"/>
  <c r="J28" i="12"/>
  <c r="I28" i="12"/>
  <c r="J24" i="12"/>
  <c r="I24" i="12"/>
  <c r="J23" i="12"/>
  <c r="I23" i="12"/>
  <c r="E23" i="12"/>
  <c r="D23" i="12"/>
  <c r="H23" i="12" s="1"/>
  <c r="C23" i="12"/>
  <c r="J20" i="12"/>
  <c r="I20" i="12"/>
  <c r="F20" i="12"/>
  <c r="E20" i="12"/>
  <c r="D20" i="12"/>
  <c r="C20" i="12"/>
  <c r="J17" i="12"/>
  <c r="I17" i="12"/>
  <c r="J16" i="12"/>
  <c r="I16" i="12"/>
  <c r="F16" i="12"/>
  <c r="E16" i="12"/>
  <c r="G16" i="12" s="1"/>
  <c r="D16" i="12"/>
  <c r="C16" i="12"/>
  <c r="J14" i="12"/>
  <c r="I14" i="12"/>
  <c r="J13" i="12"/>
  <c r="I13" i="12"/>
  <c r="F13" i="12"/>
  <c r="E13" i="12"/>
  <c r="G13" i="12" s="1"/>
  <c r="D13" i="12"/>
  <c r="C13" i="12"/>
  <c r="J12" i="12"/>
  <c r="I12" i="12"/>
  <c r="J11" i="12"/>
  <c r="I11" i="12"/>
  <c r="J10" i="12"/>
  <c r="I10" i="12"/>
  <c r="D9" i="12"/>
  <c r="E9" i="12" s="1"/>
  <c r="F9" i="12" s="1"/>
  <c r="E41" i="10"/>
  <c r="E40" i="10"/>
  <c r="E39" i="10"/>
  <c r="E38" i="10"/>
  <c r="E37" i="10"/>
  <c r="E36" i="10"/>
  <c r="E35" i="10"/>
  <c r="E33" i="10"/>
  <c r="E32" i="10"/>
  <c r="A31" i="10"/>
  <c r="E30" i="10"/>
  <c r="C29" i="10"/>
  <c r="A24" i="10"/>
  <c r="A25" i="10" s="1"/>
  <c r="A26" i="10" s="1"/>
  <c r="A27" i="10" s="1"/>
  <c r="A28" i="10" s="1"/>
  <c r="E23" i="10"/>
  <c r="C22" i="10"/>
  <c r="F22" i="10" s="1"/>
  <c r="E20" i="10"/>
  <c r="E19" i="10"/>
  <c r="E18" i="10"/>
  <c r="C15" i="10"/>
  <c r="A17" i="10"/>
  <c r="E16" i="10"/>
  <c r="D15" i="10"/>
  <c r="E14" i="10"/>
  <c r="E13" i="10"/>
  <c r="D12" i="10"/>
  <c r="C12" i="10"/>
  <c r="D10" i="10"/>
  <c r="D11" i="10" l="1"/>
  <c r="F12" i="10"/>
  <c r="F15" i="10"/>
  <c r="C12" i="12"/>
  <c r="H13" i="12"/>
  <c r="H16" i="12"/>
  <c r="E12" i="12"/>
  <c r="G12" i="12" s="1"/>
  <c r="G31" i="12"/>
  <c r="G23" i="12"/>
  <c r="C43" i="12"/>
  <c r="G43" i="12" s="1"/>
  <c r="D11" i="12"/>
  <c r="D10" i="12" s="1"/>
  <c r="C21" i="10"/>
  <c r="E15" i="10"/>
  <c r="E12" i="10"/>
  <c r="F31" i="12"/>
  <c r="H31" i="12" s="1"/>
  <c r="C11" i="10"/>
  <c r="E22" i="10"/>
  <c r="E17" i="10"/>
  <c r="E24" i="10"/>
  <c r="E31" i="10"/>
  <c r="D29" i="10"/>
  <c r="F29" i="10" s="1"/>
  <c r="F11" i="10" l="1"/>
  <c r="F12" i="12"/>
  <c r="H12" i="12" s="1"/>
  <c r="E11" i="12"/>
  <c r="D21" i="10"/>
  <c r="F21" i="10" s="1"/>
  <c r="E11" i="10"/>
  <c r="E29" i="10"/>
  <c r="C11" i="12" l="1"/>
  <c r="C10" i="12" s="1"/>
  <c r="E10" i="12"/>
  <c r="G10" i="12" s="1"/>
  <c r="D34" i="10"/>
  <c r="E34" i="10" s="1"/>
  <c r="E21" i="10"/>
  <c r="F11" i="12"/>
  <c r="H11" i="12" s="1"/>
  <c r="G11" i="12" l="1"/>
  <c r="F10" i="12"/>
  <c r="H10" i="12" s="1"/>
</calcChain>
</file>

<file path=xl/comments1.xml><?xml version="1.0" encoding="utf-8"?>
<comments xmlns="http://schemas.openxmlformats.org/spreadsheetml/2006/main">
  <authors>
    <author>Author</author>
  </authors>
  <commentList>
    <comment ref="K29" authorId="0" shapeId="0">
      <text>
        <r>
          <rPr>
            <b/>
            <sz val="8"/>
            <color indexed="81"/>
            <rFont val="Tahoma"/>
            <family val="2"/>
            <charset val="163"/>
          </rPr>
          <t>Author:</t>
        </r>
        <r>
          <rPr>
            <sz val="8"/>
            <color indexed="81"/>
            <rFont val="Tahoma"/>
            <family val="2"/>
            <charset val="163"/>
          </rPr>
          <t xml:space="preserve">
SNCTMTQG</t>
        </r>
      </text>
    </comment>
    <comment ref="K34" authorId="0" shapeId="0">
      <text>
        <r>
          <rPr>
            <b/>
            <sz val="8"/>
            <color indexed="81"/>
            <rFont val="Tahoma"/>
            <family val="2"/>
            <charset val="163"/>
          </rPr>
          <t>Author:</t>
        </r>
        <r>
          <rPr>
            <sz val="8"/>
            <color indexed="81"/>
            <rFont val="Tahoma"/>
            <family val="2"/>
            <charset val="163"/>
          </rPr>
          <t xml:space="preserve">
SN CTMTQG</t>
        </r>
      </text>
    </comment>
    <comment ref="K36" authorId="0" shapeId="0">
      <text>
        <r>
          <rPr>
            <b/>
            <sz val="8"/>
            <color indexed="81"/>
            <rFont val="Tahoma"/>
            <family val="2"/>
            <charset val="163"/>
          </rPr>
          <t>Author:</t>
        </r>
        <r>
          <rPr>
            <sz val="8"/>
            <color indexed="81"/>
            <rFont val="Tahoma"/>
            <family val="2"/>
            <charset val="163"/>
          </rPr>
          <t xml:space="preserve">
SN CTMTQG</t>
        </r>
      </text>
    </comment>
    <comment ref="K37" authorId="0" shapeId="0">
      <text>
        <r>
          <rPr>
            <b/>
            <sz val="8"/>
            <color indexed="81"/>
            <rFont val="Tahoma"/>
            <family val="2"/>
            <charset val="163"/>
          </rPr>
          <t>Author:</t>
        </r>
        <r>
          <rPr>
            <sz val="8"/>
            <color indexed="81"/>
            <rFont val="Tahoma"/>
            <family val="2"/>
            <charset val="163"/>
          </rPr>
          <t xml:space="preserve">
SN CTMTQG</t>
        </r>
      </text>
    </comment>
    <comment ref="K38" authorId="0" shapeId="0">
      <text>
        <r>
          <rPr>
            <b/>
            <sz val="8"/>
            <color indexed="81"/>
            <rFont val="Tahoma"/>
            <family val="2"/>
            <charset val="163"/>
          </rPr>
          <t>Author:</t>
        </r>
        <r>
          <rPr>
            <sz val="8"/>
            <color indexed="81"/>
            <rFont val="Tahoma"/>
            <family val="2"/>
            <charset val="163"/>
          </rPr>
          <t xml:space="preserve">
SNCTMTQG: 5.361.856.000đ</t>
        </r>
      </text>
    </comment>
    <comment ref="J39" authorId="0" shapeId="0">
      <text>
        <r>
          <rPr>
            <b/>
            <sz val="8"/>
            <color indexed="81"/>
            <rFont val="Tahoma"/>
            <family val="2"/>
            <charset val="163"/>
          </rPr>
          <t>Author:</t>
        </r>
        <r>
          <rPr>
            <sz val="8"/>
            <color indexed="81"/>
            <rFont val="Tahoma"/>
            <family val="2"/>
            <charset val="163"/>
          </rPr>
          <t xml:space="preserve">
SN CTMTQG 2.088 trđ</t>
        </r>
      </text>
    </comment>
    <comment ref="K39" authorId="0" shapeId="0">
      <text>
        <r>
          <rPr>
            <b/>
            <sz val="8"/>
            <color indexed="81"/>
            <rFont val="Tahoma"/>
            <family val="2"/>
            <charset val="163"/>
          </rPr>
          <t>Author:</t>
        </r>
        <r>
          <rPr>
            <sz val="8"/>
            <color indexed="81"/>
            <rFont val="Tahoma"/>
            <family val="2"/>
            <charset val="163"/>
          </rPr>
          <t xml:space="preserve">
SNCTMTQG: 268 ttđ</t>
        </r>
      </text>
    </comment>
  </commentList>
</comments>
</file>

<file path=xl/sharedStrings.xml><?xml version="1.0" encoding="utf-8"?>
<sst xmlns="http://schemas.openxmlformats.org/spreadsheetml/2006/main" count="1170" uniqueCount="529">
  <si>
    <t/>
  </si>
  <si>
    <t>QUYẾT TOÁN CHI NGÂN SÁCH ĐỊA PHƯƠNG THEO LĨNH VỰC NĂM 2019</t>
  </si>
  <si>
    <t>(Dùng cho ngân sách các cấp chính quyền địa phương)</t>
  </si>
  <si>
    <t>Đơn vị: Đồng</t>
  </si>
  <si>
    <t>STT</t>
  </si>
  <si>
    <t>Nội dung</t>
  </si>
  <si>
    <t>Dự toán</t>
  </si>
  <si>
    <t>Quyết toán</t>
  </si>
  <si>
    <t>So sánh (%)</t>
  </si>
  <si>
    <t>A</t>
  </si>
  <si>
    <t>CHI CÂN ĐỐI NSĐP</t>
  </si>
  <si>
    <t>I</t>
  </si>
  <si>
    <t>Chi đầu tư phát triển</t>
  </si>
  <si>
    <t>1</t>
  </si>
  <si>
    <t>Chi đầu tư cho các dự án</t>
  </si>
  <si>
    <t>-</t>
  </si>
  <si>
    <t>Chi giáo dục - đào tạo và dạy nghề</t>
  </si>
  <si>
    <t>Chi khoa học và công nghệ</t>
  </si>
  <si>
    <t>Chi đầu tư từ nguồn thu xổ số kiến thiết</t>
  </si>
  <si>
    <t>II</t>
  </si>
  <si>
    <t>Chi thường xuyên</t>
  </si>
  <si>
    <t>2</t>
  </si>
  <si>
    <t>V</t>
  </si>
  <si>
    <t>Dự phòng ngân sách</t>
  </si>
  <si>
    <t>VI</t>
  </si>
  <si>
    <t>Chi tạo nguồn, điều chỉnh tiền lương</t>
  </si>
  <si>
    <t>B</t>
  </si>
  <si>
    <t>CHI CÁC CHƯƠNG TRÌNH MỤC TIÊU</t>
  </si>
  <si>
    <t>Chi các chương trình mục tiêu quốc gia</t>
  </si>
  <si>
    <t xml:space="preserve">Chi các chương trình mục tiêu, nhiệm vụ </t>
  </si>
  <si>
    <t>3</t>
  </si>
  <si>
    <t>4</t>
  </si>
  <si>
    <t>5</t>
  </si>
  <si>
    <t>6</t>
  </si>
  <si>
    <t>7</t>
  </si>
  <si>
    <t>8</t>
  </si>
  <si>
    <t>9</t>
  </si>
  <si>
    <t>10</t>
  </si>
  <si>
    <t>11</t>
  </si>
  <si>
    <t>12</t>
  </si>
  <si>
    <t>13</t>
  </si>
  <si>
    <t>14</t>
  </si>
  <si>
    <t>15</t>
  </si>
  <si>
    <t>16</t>
  </si>
  <si>
    <t>C</t>
  </si>
  <si>
    <t>CHI CHUYỂN NGUỒN SANG NĂM SAU</t>
  </si>
  <si>
    <t>QUYẾT TOÁN CHI NGÂN SÁCH CẤP HUYỆN THEO LĨNH VỰC NĂM 2019</t>
  </si>
  <si>
    <t>NỘI DUNG</t>
  </si>
  <si>
    <t>TỔNG CHI NSĐP</t>
  </si>
  <si>
    <t>0</t>
  </si>
  <si>
    <t>Chi quốc phòng</t>
  </si>
  <si>
    <t>Chi an ninh và trật tự an toàn xã hội</t>
  </si>
  <si>
    <t>Chi y tế, dân số và gia đình</t>
  </si>
  <si>
    <t>Chi văn hóa thông tin</t>
  </si>
  <si>
    <t>Chi phát thanh, truyền hình, thông tấn</t>
  </si>
  <si>
    <t>Chi thể dục thể thao</t>
  </si>
  <si>
    <t>Chi bảo vệ môi trường</t>
  </si>
  <si>
    <t>Chi các hoạt động kinh tế</t>
  </si>
  <si>
    <t>Chi hoạt động của cơ quan quản lý nhà nước, đảng, đoàn thể</t>
  </si>
  <si>
    <t>Chi bảo đảm xã hội</t>
  </si>
  <si>
    <t>Chi đầu tư khác</t>
  </si>
  <si>
    <t>Chi đầu tư phát triển khác</t>
  </si>
  <si>
    <t>Chi thường xuyên khác</t>
  </si>
  <si>
    <t>III</t>
  </si>
  <si>
    <t>IV</t>
  </si>
  <si>
    <t>Biểu mẫu số 53</t>
  </si>
  <si>
    <t>QUYẾT TOÁN CHI NGÂN SÁCH ĐỊA PHƯƠNG, CHI NGÂN SÁCH CẤP HUYỆN VÀ CHI NGÂN SÁCH XÃ THEO CƠ CẤU CHI NĂM 2019</t>
  </si>
  <si>
    <t>(Dùng cho ngân sách tỉnh, huyện)</t>
  </si>
  <si>
    <t>Đơn vị : Đồng</t>
  </si>
  <si>
    <t>Bao gồm</t>
  </si>
  <si>
    <t>Dự toán năm 2019</t>
  </si>
  <si>
    <t>Ngân sách cấp huyện</t>
  </si>
  <si>
    <t>Ngân sách xã</t>
  </si>
  <si>
    <t>Quyết toán năm 2019</t>
  </si>
  <si>
    <t>Ghi chú: (1) Theo quy định tại Điều 7, Điều 11 và Điều 39 Luật NSNN, ngân sách huyện, xã không có nhiệm vụ chi nghiên cứu khoa học và công nghệ, chi trả lãi vay, chi bổ sung quỹ dự trữ tài chính.</t>
  </si>
  <si>
    <t>Biểu mẫu số 54</t>
  </si>
  <si>
    <t>QUYẾT TOÁN CHI NGÂN SÁCH CẤP HUYỆN CHO TỪNG CƠ QUAN, TỔ CHỨC THEO LĨNH VỰC NĂM 2019</t>
  </si>
  <si>
    <t>Tên đơn vị</t>
  </si>
  <si>
    <t>Tổng số</t>
  </si>
  <si>
    <t>Chi chương trình MTQG</t>
  </si>
  <si>
    <t>Chi chuyển nguồn sang ngân sách năm sau</t>
  </si>
  <si>
    <t>17</t>
  </si>
  <si>
    <t>18</t>
  </si>
  <si>
    <t>19</t>
  </si>
  <si>
    <t>20</t>
  </si>
  <si>
    <t>21</t>
  </si>
  <si>
    <t>22</t>
  </si>
  <si>
    <t>23</t>
  </si>
  <si>
    <t>24</t>
  </si>
  <si>
    <t>25</t>
  </si>
  <si>
    <t>26</t>
  </si>
  <si>
    <t>27</t>
  </si>
  <si>
    <t>CÁC CƠ QUAN, TỔ CHỨC</t>
  </si>
  <si>
    <t>Văn phòng Hội đồng nhân dân và Uỷ ban nhân dân</t>
  </si>
  <si>
    <t>Phòng Nông nghiệp và Phát triển nông thôn</t>
  </si>
  <si>
    <t>Phòng Tư pháp</t>
  </si>
  <si>
    <t>Phòng Tài chính - Kế hoạch</t>
  </si>
  <si>
    <t>Phòng Kinh tế và Hạ tầng</t>
  </si>
  <si>
    <t>Phòng Giáo dục và Đào tạo</t>
  </si>
  <si>
    <t>Phòng Y tế</t>
  </si>
  <si>
    <t>Phòng Lao động - Thương binh và Xã hội</t>
  </si>
  <si>
    <t>Phòng Văn hoá và Thông tin</t>
  </si>
  <si>
    <t>Phòng Tài nguyên và Môi trường</t>
  </si>
  <si>
    <t>Phòng Nội vụ</t>
  </si>
  <si>
    <t>Thanh tra huyện</t>
  </si>
  <si>
    <t>Phòng Dân tộc</t>
  </si>
  <si>
    <t>Huyện uỷ</t>
  </si>
  <si>
    <t>Uỷ ban Mặt trận Tổ quốc huyện</t>
  </si>
  <si>
    <t>Huyện Đoàn Thanh niên Cộng sản Hồ Chí Minh</t>
  </si>
  <si>
    <t>Hội Liên hiệp Phụ nữ huyện</t>
  </si>
  <si>
    <t>Hội Nông dân huyện</t>
  </si>
  <si>
    <t>Hội Cựu chiến binh huyện</t>
  </si>
  <si>
    <r>
      <rPr>
        <b/>
        <i/>
        <sz val="10"/>
        <color theme="1"/>
        <rFont val="Arial"/>
        <family val="2"/>
        <charset val="163"/>
      </rPr>
      <t xml:space="preserve">Ghi chú: </t>
    </r>
    <r>
      <rPr>
        <i/>
        <sz val="10"/>
        <color theme="1"/>
        <rFont val="Arial"/>
        <family val="2"/>
        <charset val="163"/>
      </rPr>
      <t>(1) Dự toán chi ngân sách địa phương chi tiết theo các chỉ tiêu tương ứng phần quyết toán chi ngân sách địa phương.</t>
    </r>
  </si>
  <si>
    <t>(2) Theo quy định tại Điều 7, Điều 11 Luật NSNN, ngân sách huyện, xã không có nhiệm vụ chi trả lãi vay, chi bổ sung quỹ dự trữ tài chính.</t>
  </si>
  <si>
    <t>(3) Ngân sách xã không có nhiệm vụ chi bổ sung có mục tiêu cho ngân sách cấp dưới.</t>
  </si>
  <si>
    <t>Trong đó</t>
  </si>
  <si>
    <t>Hội Chữ thập đỏ</t>
  </si>
  <si>
    <t>Hội Người cao tuổi</t>
  </si>
  <si>
    <t>Tổng Số</t>
  </si>
  <si>
    <t>Biểu mẫu số 58</t>
  </si>
  <si>
    <t>Tên đơn vị (1)</t>
  </si>
  <si>
    <t>Quyết toán chi</t>
  </si>
  <si>
    <t>Chi CTMTQG</t>
  </si>
  <si>
    <t>Chi chuyển nguồn sang năm sau</t>
  </si>
  <si>
    <t>Chi giáo dục đào tạo dạy nghề</t>
  </si>
  <si>
    <t>TỔNG SỐ</t>
  </si>
  <si>
    <t>Biểu mẫu số 59</t>
  </si>
  <si>
    <t>QUYẾT TOÁN CHI BỔ SUNG TỪ NGÂN SÁCH CẤP HUYỆN CHO NGÂN SÁCH TỪNG XÃ  NĂM 2019</t>
  </si>
  <si>
    <t>Đơn vị:Đồng</t>
  </si>
  <si>
    <t>So sách (%)</t>
  </si>
  <si>
    <t>Bổ sung cân đối ngân sách</t>
  </si>
  <si>
    <t>Bổ sung có mục tiêu</t>
  </si>
  <si>
    <t>Gồm</t>
  </si>
  <si>
    <t>Vốn đầu tư để thực hiện các CTMT, nhiệm vụ</t>
  </si>
  <si>
    <t>Vốn sự nghiệp thực hiện các chế độ, chính sách</t>
  </si>
  <si>
    <t>Vốn thực hiện các CTMT quốc gia</t>
  </si>
  <si>
    <t>Vốn ngoài nước</t>
  </si>
  <si>
    <t>Vốn trong nước</t>
  </si>
  <si>
    <t>3=4+5</t>
  </si>
  <si>
    <t>11=12+13</t>
  </si>
  <si>
    <t>17=9/1</t>
  </si>
  <si>
    <t>18=10/2</t>
  </si>
  <si>
    <t>19=11/3</t>
  </si>
  <si>
    <t>20=12/4</t>
  </si>
  <si>
    <t>21=13/5</t>
  </si>
  <si>
    <t>22=14/6</t>
  </si>
  <si>
    <t>23=15/7</t>
  </si>
  <si>
    <t>24=16/8</t>
  </si>
  <si>
    <t>Biểu mẫu số 61</t>
  </si>
  <si>
    <t>QUYẾT TOÁN CHI CHƯƠNG TRÌNH MỤC TIÊU QUỐC GIA NĂM 2019</t>
  </si>
  <si>
    <t>So sánh</t>
  </si>
  <si>
    <t>Giảm nghèo bền vững giai đoạn 2016-2020</t>
  </si>
  <si>
    <t>Xây dựng nông thôn mới giai đoạn 2016 - 2020</t>
  </si>
  <si>
    <t>Đầu tư phát triển</t>
  </si>
  <si>
    <t>Kinh phí sự nghiệp</t>
  </si>
  <si>
    <t>Chia ra</t>
  </si>
  <si>
    <t>28</t>
  </si>
  <si>
    <t>29</t>
  </si>
  <si>
    <t>30</t>
  </si>
  <si>
    <t>31</t>
  </si>
  <si>
    <t>32</t>
  </si>
  <si>
    <t>33</t>
  </si>
  <si>
    <t>34</t>
  </si>
  <si>
    <t>35=18/1</t>
  </si>
  <si>
    <t>36=19/2</t>
  </si>
  <si>
    <t>37=20/3</t>
  </si>
  <si>
    <t>38=21/4</t>
  </si>
  <si>
    <t>39=22/5</t>
  </si>
  <si>
    <t>40=23/6</t>
  </si>
  <si>
    <t>41=24/7</t>
  </si>
  <si>
    <t>42=25/8</t>
  </si>
  <si>
    <t>43=26/9</t>
  </si>
  <si>
    <t>44=27/10</t>
  </si>
  <si>
    <t>45=28/11</t>
  </si>
  <si>
    <t>46=29/12</t>
  </si>
  <si>
    <t>47=30/13</t>
  </si>
  <si>
    <t>48=31/14</t>
  </si>
  <si>
    <t>49=32/15</t>
  </si>
  <si>
    <t>50=33/16</t>
  </si>
  <si>
    <t>51=34/17</t>
  </si>
  <si>
    <t>Các đơn vị khác</t>
  </si>
  <si>
    <t>Biểu mẫu số 48</t>
  </si>
  <si>
    <t>Số TT</t>
  </si>
  <si>
    <t xml:space="preserve">Nội dung </t>
  </si>
  <si>
    <t>Tuyệt đối</t>
  </si>
  <si>
    <t>Tương đối</t>
  </si>
  <si>
    <t>3=2-1</t>
  </si>
  <si>
    <t>4=2/1</t>
  </si>
  <si>
    <t>TỔNG NGUỒN THU NSĐP</t>
  </si>
  <si>
    <t>Thu NSĐP được hưởng theo phân cấp</t>
  </si>
  <si>
    <t>Thu NSĐP hưởng 100%</t>
  </si>
  <si>
    <t>Thu NSĐP hưởng từ các khoản thu phân chia</t>
  </si>
  <si>
    <t>Thu bổ sung từ ngân sách cấp trên</t>
  </si>
  <si>
    <t>Thu bổ sung cân đối ngân sách</t>
  </si>
  <si>
    <t>Thu bổ sung có mục tiêu</t>
  </si>
  <si>
    <t>Thu từ quỹ dự trữ tài chính</t>
  </si>
  <si>
    <t>Thu kết dư</t>
  </si>
  <si>
    <t>Thu chuyển nguồn từ năm trước chuyển sang</t>
  </si>
  <si>
    <t>Tổng chi cân đối NSĐP</t>
  </si>
  <si>
    <t xml:space="preserve">Chi đầu tư phát triển </t>
  </si>
  <si>
    <t xml:space="preserve">Chi trả nợ lãi các khoản do chính quyền địa phương vay </t>
  </si>
  <si>
    <t xml:space="preserve">Chi bổ sung quỹ dự trữ tài chính </t>
  </si>
  <si>
    <t>Chi các chương trình mục tiêu</t>
  </si>
  <si>
    <t>Chi các chương trình mục tiêu, nhiệm vụ</t>
  </si>
  <si>
    <t>Chi nộp ngân sách cấp trên</t>
  </si>
  <si>
    <t>KẾT DƯ NSĐP</t>
  </si>
  <si>
    <t>D</t>
  </si>
  <si>
    <t xml:space="preserve">CHI TRẢ NỢ GỐC CỦA NSĐP </t>
  </si>
  <si>
    <t>Từ nguồn vay để trả nợ gốc</t>
  </si>
  <si>
    <t>Từ nguồn bội thu, tăng thu, tiết kiệm chi, kết dư ngân sách cấp tỉnh</t>
  </si>
  <si>
    <t>E</t>
  </si>
  <si>
    <t xml:space="preserve">TỔNG MỨC VAY CỦA NSĐP </t>
  </si>
  <si>
    <t>Vay để bù đắp bội chi</t>
  </si>
  <si>
    <t>Vay để trả nợ gốc</t>
  </si>
  <si>
    <t>G</t>
  </si>
  <si>
    <t>TỔNG MỨC DƯ NỢ VAY  CUỐI NĂM CỦA NSĐP</t>
  </si>
  <si>
    <r>
      <rPr>
        <b/>
        <i/>
        <sz val="14"/>
        <rFont val="Times New Roman"/>
        <family val="1"/>
      </rPr>
      <t>Ghi chú</t>
    </r>
    <r>
      <rPr>
        <i/>
        <sz val="14"/>
        <rFont val="Times New Roman"/>
        <family val="1"/>
      </rPr>
      <t>: (1)</t>
    </r>
    <r>
      <rPr>
        <i/>
        <sz val="12"/>
        <rFont val="Times New Roman"/>
        <family val="1"/>
      </rPr>
      <t>Theo quy định tại Điều 7, Điều 11 và Điều 39 Luật NSNN, ngân sách huyện, xã không có nhiệm vụ chi nghiên cứu khoa học</t>
    </r>
  </si>
  <si>
    <t xml:space="preserve">        và công nghệ, trả lãi vay, chi bổ sung quỹ dự trữ tài chính, bội chi NSĐP, vay và trả nợ gốc vay.</t>
  </si>
  <si>
    <r>
      <rPr>
        <i/>
        <sz val="14"/>
        <rFont val="Times New Roman"/>
        <family val="1"/>
      </rPr>
      <t>Ghi chú:</t>
    </r>
    <r>
      <rPr>
        <i/>
        <sz val="12"/>
        <rFont val="Times New Roman"/>
        <family val="1"/>
      </rPr>
      <t>(1) Chi đầu tư phát triển ngân sách cấp tỉnh tăng tương ứng với số bội chi (nếu có); giảm tương ứng với số bội thu và chi trả nợ lãi (nếu có).</t>
    </r>
  </si>
  <si>
    <r>
      <rPr>
        <i/>
        <sz val="14"/>
        <rFont val="Times New Roman"/>
        <family val="1"/>
      </rPr>
      <t xml:space="preserve">      (2)</t>
    </r>
    <r>
      <rPr>
        <i/>
        <sz val="12"/>
        <rFont val="Times New Roman"/>
        <family val="1"/>
      </rPr>
      <t>Theo quy định tại Điều 7, Điều 11 và Điều 39 Luật NSNN, Ngân sách huyện, xã không có nhiệm vụ chi nghiên</t>
    </r>
  </si>
  <si>
    <t xml:space="preserve">        cứu khoa học và công nghệ, trả lãi vay, chi bổ sung quỹ dự trữ tài chính, bội chi NSĐP, vay và trả nợ gốc vay.</t>
  </si>
  <si>
    <t xml:space="preserve">      - Ngân sách xã không có nhiệm vụ chi bổ sung cho ngân sách cấp dưới.</t>
  </si>
  <si>
    <t>Thu viện trợ</t>
  </si>
  <si>
    <t>Biểu mẫu số 50</t>
  </si>
  <si>
    <t>Tổng thu NSNN</t>
  </si>
  <si>
    <t xml:space="preserve">Thu </t>
  </si>
  <si>
    <t>5=3/1</t>
  </si>
  <si>
    <t>6=4/2</t>
  </si>
  <si>
    <t>TỔNG NGUỒN THU NSNN (A+B+C+D)</t>
  </si>
  <si>
    <t>TỔNG THU CÂN ĐỐI NSNN</t>
  </si>
  <si>
    <t>Thu nội địa</t>
  </si>
  <si>
    <t xml:space="preserve">Thu từ khu vực DNNN do trung ương quản lý </t>
  </si>
  <si>
    <t>Thuế giá trị gia tăng</t>
  </si>
  <si>
    <t>Thuế thu nhập doanh nghiệp</t>
  </si>
  <si>
    <t>Thu từ khu vực DNNN do địa phương quản lý</t>
  </si>
  <si>
    <t>Thuế tài nguyên</t>
  </si>
  <si>
    <t xml:space="preserve">Thu từ khu vực doanh nghiệp có vốn đầu tư nước ngoài </t>
  </si>
  <si>
    <t xml:space="preserve">Thu từ khu vực kinh tế ngoài quốc doanh </t>
  </si>
  <si>
    <t>Thuế tiêu thụ đặc biệt hàng nội địa</t>
  </si>
  <si>
    <t>Thuế thu nhập cá nhân</t>
  </si>
  <si>
    <t>Thuế bảo vệ môi trường</t>
  </si>
  <si>
    <t>Lệ phí trước bạ</t>
  </si>
  <si>
    <t xml:space="preserve">Thu phí, lệ phí </t>
  </si>
  <si>
    <t xml:space="preserve"> Phí và lệ phí trung ương</t>
  </si>
  <si>
    <t xml:space="preserve"> Phí và lệ phí tỉnh</t>
  </si>
  <si>
    <t xml:space="preserve"> Phí và lệ phí huyện</t>
  </si>
  <si>
    <t xml:space="preserve"> Phí và lệ phí xã, phường</t>
  </si>
  <si>
    <t>Thuế sử dụng đất phi nông nghiệp</t>
  </si>
  <si>
    <t>Tiền cho thuê đất, thuê mặt nước</t>
  </si>
  <si>
    <t>Thu tiền sử dụng đất</t>
  </si>
  <si>
    <t>Thu tiền cấp quyền khai thác khoáng sản</t>
  </si>
  <si>
    <t>Thu khác ngân sách</t>
  </si>
  <si>
    <t>Thu tiền phạt</t>
  </si>
  <si>
    <t>Trong đó:</t>
  </si>
  <si>
    <t>+ Phạt VPHC trong lĩnh vực ATGT</t>
  </si>
  <si>
    <t>+ Phạt VPHC do ngành thuế thực hiện</t>
  </si>
  <si>
    <t>Thu tịch thu</t>
  </si>
  <si>
    <t>Thu hồi các khoản chi năm trước</t>
  </si>
  <si>
    <t>Thu tiền cho thuê, bán tài sản khác</t>
  </si>
  <si>
    <t>Thu khác còn lại</t>
  </si>
  <si>
    <t>Thu từ dầu thô</t>
  </si>
  <si>
    <t>Thu từ hoạt động xuất nhập khẩu</t>
  </si>
  <si>
    <t>Thuế xuất khẩu</t>
  </si>
  <si>
    <t>Thuế nhập khẩu</t>
  </si>
  <si>
    <t>Thuế tiêu thụ đặc biệt thu từ hàng hóa nhập khẩu</t>
  </si>
  <si>
    <t>Thuế  bảo vệ môi trường thu từ hàng hóa nhập khẩu</t>
  </si>
  <si>
    <t>Thuế giá trị gia tăng thu từ hàng hóa nhập khẩu</t>
  </si>
  <si>
    <t>Thu khác</t>
  </si>
  <si>
    <t>THU TỪ QUỸ DỰ TRỮ TÀI CHÍNH</t>
  </si>
  <si>
    <t>THU KẾT DƯ NĂM TRƯỚC</t>
  </si>
  <si>
    <t>THU CHUYỂN NGUỒN TỪ NĂM TRƯỚC CHUYỂN SANG</t>
  </si>
  <si>
    <r>
      <rPr>
        <b/>
        <i/>
        <sz val="14"/>
        <rFont val="Times New Roman"/>
        <family val="1"/>
      </rPr>
      <t>Ghi chú</t>
    </r>
    <r>
      <rPr>
        <i/>
        <sz val="14"/>
        <rFont val="Times New Roman"/>
        <family val="1"/>
      </rPr>
      <t>:</t>
    </r>
  </si>
  <si>
    <t xml:space="preserve">(1) Doanh nghiệp nhà nước do trung ương quản lý là doanh nghiệp do bộ, cơ quan ngang bộ, cơ quan thuộc Chính phủ, </t>
  </si>
  <si>
    <t>cơ quan khác ở trung ương đại diện Nhà nước chủ sở hữu 100% vốn điều lệ.</t>
  </si>
  <si>
    <t>(2) Doanh nghiệp nhà nước do địa phương quản lý là doanh nghiệp do Ủy ban nhân dân cấp tỉnh đại diện Nhà nước chủ sở hữu 100% vốn điều lệ.</t>
  </si>
  <si>
    <t xml:space="preserve">(3) Doanh nghiệp có vốn đầu tư nước ngoài là các doanh nghiệp mà phần vốn do tổ chức, cá nhân nước ngoài sở hữu từ 51% vốn điều lệ trở lên </t>
  </si>
  <si>
    <t xml:space="preserve">   hoặc có đa số thành viên hợp danh là cá nhân nước ngoài đối với tổ chức kinh tế là công ty hợp danh.</t>
  </si>
  <si>
    <t>(4) Doanh nghiệp khu vực kinh tế ngoài quốc doanh là các doanh nghiệp thành lập theo Luật doanh nghiệp, Luật các tổ chức tín dụng,</t>
  </si>
  <si>
    <t xml:space="preserve">  trừ các doanh nghiệp nhà nước do trung ương, địa phương quản lý, doanh nghiệp có vốn đầu tư nước ngoài nêu trên.</t>
  </si>
  <si>
    <t>(5) Thu ngân sách nhà nước trên địa bàn, thu ngân sách địa phương cấp huyện, xã không có thu từ cổ tức,</t>
  </si>
  <si>
    <t>lợi nhuận được chia của Nhà nước và lợi nhuận sau thuế còn lại sau khi trích lập các quỹ của doanh nghiệp nhà nước, chênh lệch thu, chi Ngân hàng Nhà nước,</t>
  </si>
  <si>
    <t xml:space="preserve"> thu từ dầu thô, thu từ hoạt động xuất, nhập khẩu. Thu chênh lệch thu, chi Ngân hàng Nhà nước chỉ áp dụng đối với thành phố Hà Nội.</t>
  </si>
  <si>
    <t>Thị trấn Đắk Glei</t>
  </si>
  <si>
    <t>Xã Đắk Plô</t>
  </si>
  <si>
    <t>Xã Đắk Man</t>
  </si>
  <si>
    <t>Xã Đắk Nhoong</t>
  </si>
  <si>
    <t>Xã Đắk Pék</t>
  </si>
  <si>
    <t>Xã Đắk Choong</t>
  </si>
  <si>
    <t>Xã Xốp</t>
  </si>
  <si>
    <t>Xã Mường Hoong</t>
  </si>
  <si>
    <t>Xã Ngọc Linh</t>
  </si>
  <si>
    <t>Xã Đắk Long</t>
  </si>
  <si>
    <t>Xã Đắk KRoong</t>
  </si>
  <si>
    <t>Xã Đắk Môn</t>
  </si>
  <si>
    <t>QUYẾT TOÁN NGUỒN THU NGÂN SÁCH NHÀ NƯỚC TRÊN ĐỊA BÀN THEO LĨNH VỰC NĂM 2019</t>
  </si>
  <si>
    <t>Thuế sử dụng đất nông nghiệp</t>
  </si>
  <si>
    <t>Chi bổ sung quỹ dự trữ tài chính</t>
  </si>
  <si>
    <t>QUYẾT TOÁN CÂN ĐỐI NGÂN SÁCH ĐỊA PHƯƠNG NĂM 2019</t>
  </si>
  <si>
    <t>Thu từ bán tài sản nhà nước</t>
  </si>
  <si>
    <r>
      <t xml:space="preserve">Thu NSĐP </t>
    </r>
    <r>
      <rPr>
        <b/>
        <vertAlign val="superscript"/>
        <sz val="14"/>
        <rFont val="Times New Roman"/>
        <family val="1"/>
        <charset val="163"/>
      </rPr>
      <t xml:space="preserve">(*) </t>
    </r>
  </si>
  <si>
    <t>(*) bao gồm ngân sách cấp huyện và ngân sách cấp xã</t>
  </si>
  <si>
    <t>Mẫu biểu số 52</t>
  </si>
  <si>
    <t>Chi bổ sung cân đối cho ngân sách cấp dưới</t>
  </si>
  <si>
    <t>Chi ngân sách cấp huyện theo lĩnh vực</t>
  </si>
  <si>
    <t>Chương trình MTQG giảm nghèo bền vững</t>
  </si>
  <si>
    <t>Chương trình MTQG xây dựng nông thôn mới</t>
  </si>
  <si>
    <t>1.1</t>
  </si>
  <si>
    <t>Chương trình 30a</t>
  </si>
  <si>
    <t>1.2</t>
  </si>
  <si>
    <t>Chương trình 135</t>
  </si>
  <si>
    <t>Hỗ trợ phát triển sản xuất, đa dạng hóa sinh kế và nhân rộng mô hình nghèo trên địa bàn các xã ngoài CT 30a và CT 135</t>
  </si>
  <si>
    <t>Truyền thông và giảm nghèo về thông tin</t>
  </si>
  <si>
    <t>Nâng cao năng lực và giám sát, đánh giá thực hiện Chương trình</t>
  </si>
  <si>
    <t>Phát triển hạ tầng kinh tế - xã hội</t>
  </si>
  <si>
    <t>Các nội dung về đào tạo nghề cho lao động nông thôn, bồi dưỡng cán bộ hợp tác xã phục vụ phát triển sản xuất gắn với tái cơ cấu ngành nông nghiệp, chuyển dịch cơ cấu kinh tế nông thôn, nâng cao thu nhập người dân.</t>
  </si>
  <si>
    <t>Các nội dung về hỗ trợ phát triển sản xuất gắn với tái cơ cấu ngành nông nghiệp, chuyển dịch cơ cấu kinh tế nông thôn, nâng cao thu nhập người dân.</t>
  </si>
  <si>
    <t>Phát triển giáo dục ở nông thôn</t>
  </si>
  <si>
    <t>Nâng cao chất lượng đời sống văn hóa của người dân nông thôn.</t>
  </si>
  <si>
    <t>Vệ sinh môi trường nông thôn, khắc phục, xử lý ô nhiễm và cải thiện môi trường tại các làng nghề.</t>
  </si>
  <si>
    <t>Nâng cao năng lực xây dựng nông thôn mới và công tác giám sát, đánh giá thực hiện Chương trình; truyền thông về xây dựng nông thôn mới.</t>
  </si>
  <si>
    <t>1.3</t>
  </si>
  <si>
    <t>1.4</t>
  </si>
  <si>
    <t>1.5</t>
  </si>
  <si>
    <t>2.1</t>
  </si>
  <si>
    <t>2.2</t>
  </si>
  <si>
    <t>2.3</t>
  </si>
  <si>
    <t>2.4</t>
  </si>
  <si>
    <t>2.5</t>
  </si>
  <si>
    <t>2.6</t>
  </si>
  <si>
    <t>2.7</t>
  </si>
  <si>
    <t>2.8</t>
  </si>
  <si>
    <t>Chương trình mục tiêu phát triển lâm nghiệp bền vững</t>
  </si>
  <si>
    <t>Dự án, mục tiêu khác</t>
  </si>
  <si>
    <t>Chương trình mục tiêu giáo dục nghề nghiệp - Việc làm về an toàn lao động</t>
  </si>
  <si>
    <t>Chương trình mục tiêu phát triển hệ thống trợ giúp xã hội</t>
  </si>
  <si>
    <t>Nâng cao chất lượng, phát huy vai trò của tổ chức Đảng, chính quyền đoàn thể chính trị - xã hội trong xây dựng nông thôn mới; cải thiện và nâng cao chất lượng các dịch vụ hành chính công; bảo đảm và tăng cường khả năng tiếp cận pháp luật cho người dân</t>
  </si>
  <si>
    <r>
      <t xml:space="preserve">Dự toán </t>
    </r>
    <r>
      <rPr>
        <b/>
        <vertAlign val="superscript"/>
        <sz val="13"/>
        <color theme="1"/>
        <rFont val="Times New Roman"/>
        <family val="1"/>
        <charset val="163"/>
      </rPr>
      <t>(*)</t>
    </r>
  </si>
  <si>
    <t>Ghi chú: (*) Dự toán giao đầu năm (chưa bao gồm chuyển nguôn từ năm trước sang, dự toán được cấp có thẩm quyền bổ sung sung trong năm và nguồn kết dư ngân sách năm trước)</t>
  </si>
  <si>
    <t>CHI NỘP NGÂN SÁCH CẤP TRÊN</t>
  </si>
  <si>
    <t xml:space="preserve">Chi khoa học và công nghệ </t>
  </si>
  <si>
    <t>Tương đối (%)</t>
  </si>
  <si>
    <t>NSX (trong CĐ)</t>
  </si>
  <si>
    <t>Tổng CTX (CĐNS)</t>
  </si>
  <si>
    <t>BSMT Huyện</t>
  </si>
  <si>
    <t>BSMT xã</t>
  </si>
  <si>
    <t>NSH (trong CĐ)</t>
  </si>
  <si>
    <t>So sánh QT/DT</t>
  </si>
  <si>
    <t>NSĐP</t>
  </si>
  <si>
    <t>Chi đầu tư từ nguồn thu tiền sử dụng đất</t>
  </si>
  <si>
    <t>Trong đó Chia theo lĩnh vực:</t>
  </si>
  <si>
    <t>Trong đó Chia theo nguồn vốn:</t>
  </si>
  <si>
    <t>Dự án phát triển thị trường lao động và việc làm (cơ sở dữ liệu cung cầu lao động)</t>
  </si>
  <si>
    <t>Dự án phát triển hệ thống bảo vệ trẻ em (Tập huấn nâng cao năng lực quản lý, cung cấp dịch vụ bảo vệ trẻ em (CLB quyền tham gia của trẻ em); năng lực của cha mẹ, người chăm sóc trẻ em và trẻ em về bảo vệ trẻ em)</t>
  </si>
  <si>
    <t>Dự án phát triển hệ thông bảo vệ trẻ em (Xây dựng và hoàn thiện cơ sở dữ liệu về bảo vệ trẻ em)</t>
  </si>
  <si>
    <t>Dự án hỗ trợ thực hiện các mục tiêu quốc gia về bình đẳng giới (Truyền thông nâng cao nhận thực về bình đẳng giới)</t>
  </si>
  <si>
    <t xml:space="preserve">Dự án phát triển hệ thống dịch vụ hỗ trợ người cai nguyện ma túy, mại dâm và nạn nhân bị buôn bán người </t>
  </si>
  <si>
    <t>Hỗ trợ Quỹ bảo vệ phát triển rừng cấp xã</t>
  </si>
  <si>
    <t>Dự toán 2019</t>
  </si>
  <si>
    <t>Ban QLDA Đầu tư xây dựng huyện</t>
  </si>
  <si>
    <t>Trung tâm Văn hóa - Thể thao - Du lịch và Truyền thông</t>
  </si>
  <si>
    <t>Trung tâm Môi trường và Dịch vụ đô thị</t>
  </si>
  <si>
    <t>Trung tâm Dịch vụ nông nghiệp</t>
  </si>
  <si>
    <t xml:space="preserve">Hội nạn nhân chất độc dacam/Dioxin </t>
  </si>
  <si>
    <t xml:space="preserve">Hội Cựu thanh niên xung phong </t>
  </si>
  <si>
    <t>Liên đoàn lao động</t>
  </si>
  <si>
    <t>Hội khuyến học</t>
  </si>
  <si>
    <t>Ban chỉ huy Quân sự huyện</t>
  </si>
  <si>
    <t>Công an huyện</t>
  </si>
  <si>
    <t>Hạt Kiểm lâm</t>
  </si>
  <si>
    <t>Trung tâm Y tế huyện</t>
  </si>
  <si>
    <t>Chi cục Thống kê huyện</t>
  </si>
  <si>
    <t>Trường Phổ thông Dân dộc nội trú huyện</t>
  </si>
  <si>
    <t xml:space="preserve">Trường Trung học Phổ thông Lương Thế Vinh </t>
  </si>
  <si>
    <t>Cấp vốn ủy thác qua Ngân hàng Chính sách xã hội</t>
  </si>
  <si>
    <t>35</t>
  </si>
  <si>
    <t>36</t>
  </si>
  <si>
    <t>37</t>
  </si>
  <si>
    <t>38</t>
  </si>
  <si>
    <t>39</t>
  </si>
  <si>
    <t>40</t>
  </si>
  <si>
    <t>41</t>
  </si>
  <si>
    <t>42</t>
  </si>
  <si>
    <t>43</t>
  </si>
  <si>
    <t>44</t>
  </si>
  <si>
    <t>45</t>
  </si>
  <si>
    <t>Trung tâm bồi dưỡng Chính trị</t>
  </si>
  <si>
    <t>Trung tâm giáo dục nghề nghiệp - GDTX</t>
  </si>
  <si>
    <t>Trường Mầm non xã Mường Hoong</t>
  </si>
  <si>
    <t>Trường Mầm non xã Xốp</t>
  </si>
  <si>
    <t>Trường Mầm non xã Đăk Choong</t>
  </si>
  <si>
    <t>Trường Mầm non xã Đăk Man</t>
  </si>
  <si>
    <t>Trường Mầm non thị trấn Đăk Glei</t>
  </si>
  <si>
    <t>Trường Mầm non xã Đăk Kroong</t>
  </si>
  <si>
    <t>Trường Mầm non xã Ngọc Linh</t>
  </si>
  <si>
    <t>Trường Mầm non xã Đăk Môn</t>
  </si>
  <si>
    <t>Trường Mầm non xã Đăk Nhoong</t>
  </si>
  <si>
    <t>Trường Mầm non xã Đăk Pék</t>
  </si>
  <si>
    <t>Trường Mầm non xã Đăk Long</t>
  </si>
  <si>
    <t>Trường Tiểu học Kim Đồng</t>
  </si>
  <si>
    <t>Trường Tiểu học xã Đăk Man</t>
  </si>
  <si>
    <t>Trường Tiểu học xã Mường Hoong</t>
  </si>
  <si>
    <t>Trường Tiểu học xã Ngọc Linh</t>
  </si>
  <si>
    <t>Trường Tiểu học xã Xốp</t>
  </si>
  <si>
    <t>Trường Tiểu học xã Đăk Kroong</t>
  </si>
  <si>
    <t>Trường PTDTBT-TH xã Đăk Choong</t>
  </si>
  <si>
    <t>Trường Tiểu học Võ Thị Sáu</t>
  </si>
  <si>
    <t>Trường Tiểu học xã Đăk Long</t>
  </si>
  <si>
    <t>Trường Tiểu học xã Đăk Môn</t>
  </si>
  <si>
    <t>Trường Tiểu học thị trấn Đăk Glei</t>
  </si>
  <si>
    <t>Trường Tiểu học xã Đăk Nhoong</t>
  </si>
  <si>
    <t>Trường Tiểu học và THCS Lý Tự Trọng</t>
  </si>
  <si>
    <t>Trường PTDTBT-THCS xã Đăk Nhoong</t>
  </si>
  <si>
    <t>Trường PTDTBT-THCS xã Mường Hoong</t>
  </si>
  <si>
    <t>Trường THCS thị trấn Đăk Glei</t>
  </si>
  <si>
    <t>Trường PTDTBT-THCS xã Đăk Man</t>
  </si>
  <si>
    <t>Trường PTDTBT-THCS xã Đăk Choong</t>
  </si>
  <si>
    <t>Trường PTDTBT-THCS xã Ngọc Linh</t>
  </si>
  <si>
    <t>Trường THCS xã Đăk Kroong</t>
  </si>
  <si>
    <t>Trường THCS xã Đăk Môn</t>
  </si>
  <si>
    <t>Trường THCS xã Xốp</t>
  </si>
  <si>
    <t>Trường PTDTBT-THCS xã Đăk Long</t>
  </si>
  <si>
    <t>Trường THCS xã Đăk Pét</t>
  </si>
  <si>
    <t>Trung tâm HTCĐ thị trấn Đăk Glei</t>
  </si>
  <si>
    <t>Trung tâm HTCĐ xã Đăk Pét</t>
  </si>
  <si>
    <t>Trung tâm HTCĐ xã Đăk Kroong</t>
  </si>
  <si>
    <t>Trung tâm HTCĐ xã Đăk Môn</t>
  </si>
  <si>
    <t>Trung tâm HTCĐ xã Đăk Long</t>
  </si>
  <si>
    <t>Trung tâm HTCĐ xã Đăk Nhoong</t>
  </si>
  <si>
    <t>Trung tâm HTCĐ xã Đăk Man</t>
  </si>
  <si>
    <t>Trung tâm HTCĐ xã Đăk Blô</t>
  </si>
  <si>
    <t>Trung tâm HTCĐ xã Đăk Choong</t>
  </si>
  <si>
    <t>Trung tâm HTCĐ xã Xốp</t>
  </si>
  <si>
    <t>Trung tâm HTCĐ xã Mường Hoong</t>
  </si>
  <si>
    <t>Trung tâm HTCĐ xã Ngọc Linh</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</si>
  <si>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</si>
  <si>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</si>
  <si>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</si>
  <si>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</si>
  <si>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</si>
  <si>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</si>
  <si>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</si>
  <si>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</si>
  <si>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</si>
  <si>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</si>
  <si>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</si>
  <si>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</si>
  <si>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</si>
  <si>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</si>
  <si>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</si>
  <si>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</si>
  <si>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</si>
  <si>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</si>
  <si>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</si>
  <si>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</si>
  <si>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</si>
  <si>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</si>
  <si>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</si>
  <si>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</si>
  <si>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</si>
  <si>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</si>
  <si>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</si>
  <si>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</si>
  <si>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</si>
  <si>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</si>
  <si>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</si>
  <si>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</si>
  <si>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</si>
  <si>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</si>
  <si>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</si>
  <si>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</si>
  <si>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</si>
  <si>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</si>
  <si>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</si>
  <si>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</si>
  <si>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</si>
  <si>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</si>
  <si>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</si>
  <si>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</si>
  <si>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</si>
  <si>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Phân hiệu Trường THPT Lương Thế Vinh</t>
  </si>
  <si>
    <t>Trường Mầm non xã Đăk Plô</t>
  </si>
  <si>
    <t>Trường Tiểu học xã Đăk Plô</t>
  </si>
  <si>
    <t>Trường THCS xã Đăk Plô</t>
  </si>
  <si>
    <t>Thị trấn Đăk Glei</t>
  </si>
  <si>
    <t>Xã Đăk Kroong</t>
  </si>
  <si>
    <t>Xã Đăk Môn</t>
  </si>
  <si>
    <t>Xã Đăk Long</t>
  </si>
  <si>
    <t>Xã Đăk Nhoong</t>
  </si>
  <si>
    <t>Xã Đăk Man</t>
  </si>
  <si>
    <t>Xã Đăk Blô</t>
  </si>
  <si>
    <t>Xã Đăk Choong</t>
  </si>
  <si>
    <t>91</t>
  </si>
  <si>
    <t>92</t>
  </si>
  <si>
    <t>93</t>
  </si>
  <si>
    <t>94</t>
  </si>
  <si>
    <t>95</t>
  </si>
  <si>
    <t>96</t>
  </si>
  <si>
    <t>97</t>
  </si>
  <si>
    <t>98</t>
  </si>
  <si>
    <t>99</t>
  </si>
  <si>
    <t>100</t>
  </si>
  <si>
    <t>101</t>
  </si>
  <si>
    <t>102</t>
  </si>
  <si>
    <t>103</t>
  </si>
  <si>
    <t>Ban Tiếp công dân</t>
  </si>
  <si>
    <t>DỰ PHÒNG NGÂN SÁCH</t>
  </si>
  <si>
    <t>CHI TẠO NGUỒN, ĐIỀU CHỈNH TIỀN LƯƠNG</t>
  </si>
  <si>
    <t>CHI CHUYỂN NGUỒN SANG NS NĂM SAU</t>
  </si>
  <si>
    <t>CHI BỔ SUNG CÓ MỤC TIÊU CHO NS CẤP DƯỚI</t>
  </si>
  <si>
    <t>Xã Đăk Pék</t>
  </si>
  <si>
    <r>
      <t xml:space="preserve">Chi đầu tư phát triển 
</t>
    </r>
    <r>
      <rPr>
        <i/>
        <sz val="10"/>
        <color theme="1"/>
        <rFont val="Arial"/>
        <family val="2"/>
        <charset val="163"/>
      </rPr>
      <t>(Không kể chương trình MTQG)</t>
    </r>
  </si>
  <si>
    <r>
      <t>Chi thường xuyên</t>
    </r>
    <r>
      <rPr>
        <i/>
        <sz val="10"/>
        <color theme="1"/>
        <rFont val="Arial"/>
        <family val="2"/>
        <charset val="163"/>
      </rPr>
      <t xml:space="preserve"> 
(Không kể chương trình MTQG)</t>
    </r>
  </si>
  <si>
    <r>
      <t xml:space="preserve">Chi thường xuyên 
</t>
    </r>
    <r>
      <rPr>
        <i/>
        <sz val="10"/>
        <color theme="1"/>
        <rFont val="Arial"/>
        <family val="2"/>
        <charset val="163"/>
      </rPr>
      <t>(Không kể chương trình MTQG)</t>
    </r>
  </si>
  <si>
    <r>
      <t xml:space="preserve">Chi đầu tư phát triển
 </t>
    </r>
    <r>
      <rPr>
        <i/>
        <sz val="10"/>
        <color theme="1"/>
        <rFont val="Arial"/>
        <family val="2"/>
        <charset val="163"/>
      </rPr>
      <t>(Không kể chương trình MTQG)</t>
    </r>
  </si>
  <si>
    <t>Chi chuyển nguồn sang NS năm sau</t>
  </si>
  <si>
    <t>QUYẾT TOÁN CHI NGÂN SÁCH ĐỊA PHƯƠNG TỪNG XÃ NĂM 2019</t>
  </si>
  <si>
    <t>ĐỊA PHƯƠNG</t>
  </si>
  <si>
    <t>Xã Đắk Kroong</t>
  </si>
  <si>
    <t>Dự toán (1)</t>
  </si>
  <si>
    <r>
      <rPr>
        <b/>
        <i/>
        <sz val="11"/>
        <color theme="1"/>
        <rFont val="Arial"/>
        <family val="2"/>
        <charset val="163"/>
      </rPr>
      <t>Ghi chú:</t>
    </r>
    <r>
      <rPr>
        <i/>
        <sz val="11"/>
        <color theme="1"/>
        <rFont val="Arial"/>
        <family val="2"/>
        <charset val="163"/>
      </rPr>
      <t xml:space="preserve"> (1) Bao gồm chuyển nguồn từ năm trước sang</t>
    </r>
  </si>
  <si>
    <t>Biểu mẫu số 51</t>
  </si>
  <si>
    <r>
      <t xml:space="preserve">Dự toán </t>
    </r>
    <r>
      <rPr>
        <b/>
        <vertAlign val="superscript"/>
        <sz val="11"/>
        <color theme="1"/>
        <rFont val="Arial"/>
        <family val="2"/>
        <charset val="163"/>
      </rPr>
      <t>(*)</t>
    </r>
  </si>
  <si>
    <r>
      <rPr>
        <b/>
        <i/>
        <sz val="11"/>
        <color theme="1"/>
        <rFont val="Arial"/>
        <family val="2"/>
        <charset val="163"/>
      </rPr>
      <t xml:space="preserve">Ghi chú: </t>
    </r>
    <r>
      <rPr>
        <i/>
        <sz val="11"/>
        <color theme="1"/>
        <rFont val="Arial"/>
        <family val="2"/>
        <charset val="163"/>
      </rPr>
      <t>(*) Bao gồm dự toán giao đầu năm và bổ sung trong năm.</t>
    </r>
  </si>
  <si>
    <t>Ban QLDA đầu tư xây dựng huyện</t>
  </si>
  <si>
    <t>Ghi chú: (*) Dự toán giao đầu năm (chưa bao gồm chuyển nguồn từ năm trước sang, dự toán được cấp có thẩm quyền bổ sung trong năm và nguồn kết dư ngân sách năm trước)</t>
  </si>
  <si>
    <t>16=5/1</t>
  </si>
  <si>
    <t>17=6/2</t>
  </si>
  <si>
    <t>18=9/3</t>
  </si>
  <si>
    <t>Chi CT MTQG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</si>
</sst>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5" formatCode="#,##0.00%;\-#,##0%"/>
    <numFmt numFmtId="166" formatCode="_(* #,##0.00_);_(* \(#,##0.00\);_(* &quot;-&quot;??_);_(@_)"/>
    <numFmt numFmtId="168" formatCode="_(* #,##0.00_);_(* \(#,##0.00\);_(* \-??_);_(@_)"/>
    <numFmt numFmtId="169" formatCode="#,##0_ ;\-#,##0\ "/>
  </numFmts>
  <fonts count="72">
    <font>
      <sz val="11"/>
      <color theme="1"/>
      <name val="Calibri"/>
    </font>
    <font>
      <b/>
      <sz val="10"/>
      <color theme="1"/>
      <name val="Arial"/>
      <family val="2"/>
      <charset val="163"/>
    </font>
    <font>
      <sz val="8"/>
      <color theme="1"/>
      <name val="Arial"/>
      <family val="2"/>
      <charset val="163"/>
    </font>
    <font>
      <sz val="11"/>
      <color theme="1"/>
      <name val="Calibri"/>
      <family val="2"/>
      <charset val="163"/>
    </font>
    <font>
      <b/>
      <sz val="14"/>
      <color theme="1"/>
      <name val="Arial"/>
      <family val="2"/>
      <charset val="163"/>
    </font>
    <font>
      <i/>
      <sz val="10"/>
      <color theme="1"/>
      <name val="Arial"/>
      <family val="2"/>
      <charset val="163"/>
    </font>
    <font>
      <sz val="10"/>
      <color theme="1"/>
      <name val="Arial"/>
      <family val="2"/>
      <charset val="163"/>
    </font>
    <font>
      <b/>
      <i/>
      <sz val="10"/>
      <color theme="1"/>
      <name val="Arial"/>
      <family val="2"/>
      <charset val="163"/>
    </font>
    <font>
      <sz val="12"/>
      <name val=".VnTime"/>
      <family val="2"/>
    </font>
    <font>
      <b/>
      <sz val="14"/>
      <name val="Times New Roman"/>
      <family val="1"/>
    </font>
    <font>
      <b/>
      <sz val="12"/>
      <name val="Times New Roman"/>
      <family val="1"/>
    </font>
    <font>
      <sz val="12"/>
      <name val="Times New Roman"/>
      <family val="1"/>
    </font>
    <font>
      <sz val="12"/>
      <name val=".VnTime"/>
      <family val="2"/>
    </font>
    <font>
      <b/>
      <sz val="15"/>
      <name val="Times New Roman"/>
      <family val="1"/>
    </font>
    <font>
      <sz val="14"/>
      <name val="Times New Roman"/>
      <family val="1"/>
    </font>
    <font>
      <i/>
      <sz val="14"/>
      <name val="Times New Roman"/>
      <family val="1"/>
    </font>
    <font>
      <sz val="13"/>
      <name val="Times New Roman"/>
      <family val="1"/>
    </font>
    <font>
      <b/>
      <sz val="11"/>
      <name val="Times New Roman"/>
      <family val="1"/>
    </font>
    <font>
      <b/>
      <sz val="14"/>
      <name val="Times New Romanh"/>
    </font>
    <font>
      <b/>
      <i/>
      <sz val="14"/>
      <name val="Times New Roman"/>
      <family val="1"/>
    </font>
    <font>
      <sz val="14"/>
      <color rgb="FFC00000"/>
      <name val="Times New Roman"/>
      <family val="1"/>
    </font>
    <font>
      <i/>
      <sz val="12"/>
      <name val="Times New Roman"/>
      <family val="1"/>
    </font>
    <font>
      <b/>
      <u/>
      <sz val="14"/>
      <name val="Times New Roman"/>
      <family val="1"/>
    </font>
    <font>
      <b/>
      <sz val="13"/>
      <name val="Times New Roman"/>
      <family val="1"/>
    </font>
    <font>
      <i/>
      <sz val="14"/>
      <color rgb="FF000000"/>
      <name val="Times New Roman"/>
      <family val="1"/>
    </font>
    <font>
      <b/>
      <sz val="14"/>
      <name val="Times New Roman"/>
      <family val="1"/>
      <charset val="163"/>
    </font>
    <font>
      <sz val="14"/>
      <name val="Times New Roman"/>
      <family val="1"/>
      <charset val="163"/>
    </font>
    <font>
      <sz val="10"/>
      <name val="Arial"/>
      <family val="2"/>
    </font>
    <font>
      <i/>
      <sz val="14"/>
      <name val="Times New Roman"/>
      <family val="1"/>
      <charset val="163"/>
    </font>
    <font>
      <b/>
      <sz val="13"/>
      <color theme="1"/>
      <name val="Times New Roman"/>
      <family val="1"/>
      <charset val="163"/>
    </font>
    <font>
      <sz val="13"/>
      <color theme="1"/>
      <name val="Times New Roman"/>
      <family val="1"/>
      <charset val="163"/>
    </font>
    <font>
      <sz val="14"/>
      <color theme="1"/>
      <name val="Times New Roman"/>
      <family val="1"/>
      <charset val="163"/>
    </font>
    <font>
      <b/>
      <vertAlign val="superscript"/>
      <sz val="14"/>
      <name val="Times New Roman"/>
      <family val="1"/>
      <charset val="163"/>
    </font>
    <font>
      <i/>
      <sz val="12"/>
      <name val="Times New Roman"/>
      <family val="1"/>
      <charset val="163"/>
    </font>
    <font>
      <i/>
      <sz val="13"/>
      <color rgb="FF333399"/>
      <name val="Times New Roman"/>
      <family val="1"/>
      <charset val="163"/>
    </font>
    <font>
      <i/>
      <sz val="13"/>
      <color theme="1"/>
      <name val="Times New Roman"/>
      <family val="1"/>
      <charset val="163"/>
    </font>
    <font>
      <sz val="13.5"/>
      <color theme="1"/>
      <name val="Times New Roman"/>
      <family val="1"/>
    </font>
    <font>
      <b/>
      <sz val="15"/>
      <color theme="1"/>
      <name val="Times New Roman"/>
      <family val="1"/>
      <charset val="163"/>
    </font>
    <font>
      <sz val="15"/>
      <color theme="1"/>
      <name val="Times New Roman"/>
      <family val="1"/>
      <charset val="163"/>
    </font>
    <font>
      <i/>
      <sz val="15"/>
      <color theme="1"/>
      <name val="Times New Roman"/>
      <family val="1"/>
      <charset val="163"/>
    </font>
    <font>
      <b/>
      <vertAlign val="superscript"/>
      <sz val="13"/>
      <color theme="1"/>
      <name val="Times New Roman"/>
      <family val="1"/>
      <charset val="163"/>
    </font>
    <font>
      <i/>
      <sz val="12"/>
      <color theme="1"/>
      <name val="Times New Roman"/>
      <family val="1"/>
      <charset val="163"/>
    </font>
    <font>
      <sz val="13"/>
      <color rgb="FFFF0000"/>
      <name val="Times New Roman"/>
      <family val="1"/>
      <charset val="163"/>
    </font>
    <font>
      <b/>
      <sz val="15"/>
      <color rgb="FF333399"/>
      <name val="Times New Roman"/>
      <family val="1"/>
      <charset val="163"/>
    </font>
    <font>
      <i/>
      <sz val="15"/>
      <color rgb="FF333399"/>
      <name val="Times New Roman"/>
      <family val="1"/>
      <charset val="163"/>
    </font>
    <font>
      <b/>
      <sz val="13"/>
      <color rgb="FFFF0000"/>
      <name val="Times New Roman"/>
      <family val="1"/>
      <charset val="163"/>
    </font>
    <font>
      <sz val="8"/>
      <color indexed="81"/>
      <name val="Tahoma"/>
      <family val="2"/>
      <charset val="163"/>
    </font>
    <font>
      <b/>
      <sz val="8"/>
      <color indexed="81"/>
      <name val="Tahoma"/>
      <family val="2"/>
      <charset val="163"/>
    </font>
    <font>
      <sz val="13"/>
      <color rgb="FF333399"/>
      <name val="Times New Roman"/>
      <family val="1"/>
      <charset val="163"/>
    </font>
    <font>
      <i/>
      <sz val="14"/>
      <color rgb="FF333399"/>
      <name val="Times New Roman"/>
      <family val="1"/>
      <charset val="163"/>
    </font>
    <font>
      <sz val="11"/>
      <color theme="1"/>
      <name val="times new roman"/>
      <family val="2"/>
      <charset val="163"/>
    </font>
    <font>
      <sz val="13"/>
      <name val="Times New Roman"/>
      <family val="1"/>
      <charset val="163"/>
    </font>
    <font>
      <sz val="13"/>
      <color rgb="FF000000"/>
      <name val="Times New Roman"/>
      <family val="1"/>
      <charset val="163"/>
    </font>
    <font>
      <b/>
      <sz val="11"/>
      <color theme="1"/>
      <name val="Calibri"/>
      <family val="2"/>
      <charset val="163"/>
    </font>
    <font>
      <b/>
      <sz val="11"/>
      <color theme="1"/>
      <name val="Arial"/>
      <family val="2"/>
      <charset val="163"/>
    </font>
    <font>
      <i/>
      <sz val="11"/>
      <color theme="1"/>
      <name val="Arial"/>
      <family val="2"/>
      <charset val="163"/>
    </font>
    <font>
      <sz val="11"/>
      <color theme="1"/>
      <name val="Arial"/>
      <family val="2"/>
      <charset val="163"/>
    </font>
    <font>
      <b/>
      <i/>
      <sz val="11"/>
      <color theme="1"/>
      <name val="Arial"/>
      <family val="2"/>
      <charset val="163"/>
    </font>
    <font>
      <b/>
      <sz val="15"/>
      <color theme="1"/>
      <name val="Arial"/>
      <family val="2"/>
      <charset val="163"/>
    </font>
    <font>
      <sz val="15"/>
      <color theme="1"/>
      <name val="Arial"/>
      <family val="2"/>
      <charset val="163"/>
    </font>
    <font>
      <u/>
      <sz val="11"/>
      <color theme="1"/>
      <name val="Arial"/>
      <family val="2"/>
      <charset val="163"/>
    </font>
    <font>
      <u/>
      <sz val="10"/>
      <color theme="1"/>
      <name val="Arial"/>
      <family val="2"/>
      <charset val="163"/>
    </font>
    <font>
      <u/>
      <sz val="13"/>
      <color theme="1"/>
      <name val="Times New Roman"/>
      <family val="1"/>
      <charset val="163"/>
    </font>
    <font>
      <u/>
      <sz val="13"/>
      <color rgb="FF333399"/>
      <name val="Times New Roman"/>
      <family val="1"/>
      <charset val="163"/>
    </font>
    <font>
      <u/>
      <sz val="14"/>
      <name val="Times New Roman"/>
      <family val="1"/>
      <charset val="163"/>
    </font>
    <font>
      <b/>
      <vertAlign val="superscript"/>
      <sz val="11"/>
      <color theme="1"/>
      <name val="Arial"/>
      <family val="2"/>
      <charset val="163"/>
    </font>
    <font>
      <i/>
      <sz val="14"/>
      <color theme="1"/>
      <name val="Arial"/>
      <family val="2"/>
      <charset val="163"/>
    </font>
    <font>
      <i/>
      <sz val="11"/>
      <color theme="1"/>
      <name val="Calibri"/>
      <family val="2"/>
      <charset val="163"/>
    </font>
    <font>
      <sz val="11"/>
      <color rgb="FFFF0000"/>
      <name val="Arial"/>
      <family val="2"/>
      <charset val="163"/>
    </font>
    <font>
      <i/>
      <sz val="11"/>
      <color rgb="FFFF0000"/>
      <name val="Arial"/>
      <family val="2"/>
      <charset val="163"/>
    </font>
    <font>
      <sz val="11"/>
      <color rgb="FFFF0000"/>
      <name val="Calibri"/>
      <family val="2"/>
      <charset val="163"/>
    </font>
    <font>
      <b/>
      <sz val="11"/>
      <color rgb="FFFF0000"/>
      <name val="Arial"/>
      <family val="2"/>
      <charset val="163"/>
    </font>
  </fonts>
  <fills count="4">
    <fill>
      <patternFill patternType="none"/>
    </fill>
    <fill>
      <patternFill patternType="gray125"/>
    </fill>
    <fill>
      <patternFill patternType="solid">
        <fgColor rgb="FFFFFFFF"/>
      </patternFill>
    </fill>
    <fill>
      <patternFill patternType="solid">
        <fgColor indexed="9"/>
        <bgColor indexed="64"/>
      </patternFill>
    </fill>
  </fills>
  <borders count="38">
    <border>
      <left/>
      <right/>
      <top/>
      <bottom/>
      <diagonal/>
    </border>
    <border>
      <left style="thin">
        <color rgb="FF979991"/>
      </left>
      <right/>
      <top style="thin">
        <color rgb="FF979991"/>
      </top>
      <bottom style="thin">
        <color rgb="FF979991"/>
      </bottom>
      <diagonal/>
    </border>
    <border>
      <left/>
      <right/>
      <top style="thin">
        <color rgb="FF000000"/>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rgb="FF000000"/>
      </left>
      <right style="thin">
        <color rgb="FF000000"/>
      </right>
      <top style="hair">
        <color rgb="FF000000"/>
      </top>
      <bottom style="hair">
        <color rgb="FF000000"/>
      </bottom>
      <diagonal/>
    </border>
    <border>
      <left style="thin">
        <color rgb="FF000000"/>
      </left>
      <right style="thin">
        <color rgb="FF000000"/>
      </right>
      <top style="hair">
        <color rgb="FF000000"/>
      </top>
      <bottom style="thin">
        <color rgb="FF000000"/>
      </bottom>
      <diagonal/>
    </border>
    <border>
      <left style="thin">
        <color rgb="FF000000"/>
      </left>
      <right style="thin">
        <color rgb="FF000000"/>
      </right>
      <top/>
      <bottom style="hair">
        <color rgb="FF000000"/>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style="hair">
        <color rgb="FF000000"/>
      </top>
      <bottom/>
      <diagonal/>
    </border>
    <border>
      <left style="thin">
        <color rgb="FF000000"/>
      </left>
      <right style="thin">
        <color rgb="FF000000"/>
      </right>
      <top style="thin">
        <color rgb="FF000000"/>
      </top>
      <bottom style="hair">
        <color rgb="FF000000"/>
      </bottom>
      <diagonal/>
    </border>
    <border>
      <left style="thin">
        <color rgb="FF000000"/>
      </left>
      <right style="thin">
        <color rgb="FF000000"/>
      </right>
      <top style="hair">
        <color rgb="FF000000"/>
      </top>
      <bottom style="thin">
        <color indexed="64"/>
      </bottom>
      <diagonal/>
    </border>
    <border>
      <left/>
      <right/>
      <top/>
      <bottom style="thin">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7">
    <xf numFmtId="0" fontId="0" fillId="0" borderId="0"/>
    <xf numFmtId="0" fontId="3" fillId="0" borderId="0"/>
    <xf numFmtId="0" fontId="8" fillId="0" borderId="0"/>
    <xf numFmtId="0" fontId="12" fillId="0" borderId="0"/>
    <xf numFmtId="166" fontId="12" fillId="0" borderId="0" applyFont="0" applyFill="0" applyBorder="0" applyAlignment="0" applyProtection="0"/>
    <xf numFmtId="168" fontId="27" fillId="0" borderId="0" applyFill="0" applyBorder="0" applyAlignment="0" applyProtection="0"/>
    <xf numFmtId="0" fontId="50" fillId="0" borderId="0"/>
  </cellStyleXfs>
  <cellXfs count="360">
    <xf numFmtId="0" fontId="0" fillId="0" borderId="0" xfId="0"/>
    <xf numFmtId="0" fontId="9" fillId="0" borderId="0" xfId="2" applyFont="1" applyAlignment="1">
      <alignment horizontal="left"/>
    </xf>
    <xf numFmtId="0" fontId="10" fillId="0" borderId="0" xfId="2" applyFont="1" applyAlignment="1">
      <alignment horizontal="left"/>
    </xf>
    <xf numFmtId="0" fontId="11" fillId="0" borderId="0" xfId="2" applyFont="1" applyAlignment="1">
      <alignment horizontal="centerContinuous"/>
    </xf>
    <xf numFmtId="0" fontId="9" fillId="0" borderId="0" xfId="2" applyFont="1" applyAlignment="1">
      <alignment horizontal="centerContinuous"/>
    </xf>
    <xf numFmtId="0" fontId="11" fillId="0" borderId="0" xfId="2" applyFont="1"/>
    <xf numFmtId="0" fontId="9" fillId="0" borderId="0" xfId="2" quotePrefix="1" applyFont="1" applyAlignment="1">
      <alignment horizontal="centerContinuous"/>
    </xf>
    <xf numFmtId="0" fontId="15" fillId="0" borderId="0" xfId="2" applyFont="1" applyAlignment="1">
      <alignment horizontal="left"/>
    </xf>
    <xf numFmtId="0" fontId="14" fillId="0" borderId="0" xfId="2" applyFont="1" applyBorder="1"/>
    <xf numFmtId="0" fontId="16" fillId="0" borderId="0" xfId="2" applyFont="1"/>
    <xf numFmtId="0" fontId="9" fillId="0" borderId="5" xfId="2" applyFont="1" applyBorder="1" applyAlignment="1">
      <alignment horizontal="centerContinuous" vertical="center"/>
    </xf>
    <xf numFmtId="0" fontId="17" fillId="0" borderId="5" xfId="2" applyFont="1" applyBorder="1" applyAlignment="1">
      <alignment horizontal="center" vertical="center"/>
    </xf>
    <xf numFmtId="0" fontId="17" fillId="0" borderId="5" xfId="2" quotePrefix="1" applyFont="1" applyBorder="1" applyAlignment="1">
      <alignment horizontal="center" vertical="center"/>
    </xf>
    <xf numFmtId="0" fontId="17" fillId="0" borderId="0" xfId="2" applyFont="1" applyAlignment="1">
      <alignment vertical="center"/>
    </xf>
    <xf numFmtId="0" fontId="9" fillId="0" borderId="6" xfId="2" applyFont="1" applyBorder="1" applyAlignment="1">
      <alignment horizontal="center" vertical="center"/>
    </xf>
    <xf numFmtId="0" fontId="18" fillId="0" borderId="6" xfId="2" applyFont="1" applyBorder="1" applyAlignment="1">
      <alignment vertical="center" wrapText="1"/>
    </xf>
    <xf numFmtId="3" fontId="9" fillId="0" borderId="6" xfId="2" applyNumberFormat="1" applyFont="1" applyBorder="1" applyAlignment="1">
      <alignment vertical="center"/>
    </xf>
    <xf numFmtId="3" fontId="9" fillId="0" borderId="7" xfId="2" applyNumberFormat="1" applyFont="1" applyBorder="1" applyAlignment="1">
      <alignment vertical="center"/>
    </xf>
    <xf numFmtId="0" fontId="14" fillId="0" borderId="0" xfId="2" applyFont="1" applyAlignment="1">
      <alignment vertical="center"/>
    </xf>
    <xf numFmtId="0" fontId="9" fillId="0" borderId="7" xfId="2" applyFont="1" applyBorder="1" applyAlignment="1">
      <alignment horizontal="center" vertical="center"/>
    </xf>
    <xf numFmtId="0" fontId="9" fillId="0" borderId="7" xfId="2" applyFont="1" applyBorder="1" applyAlignment="1">
      <alignment vertical="center" wrapText="1"/>
    </xf>
    <xf numFmtId="0" fontId="14" fillId="0" borderId="7" xfId="2" quotePrefix="1" applyFont="1" applyBorder="1" applyAlignment="1">
      <alignment horizontal="center" vertical="center"/>
    </xf>
    <xf numFmtId="0" fontId="14" fillId="0" borderId="7" xfId="2" applyFont="1" applyBorder="1" applyAlignment="1">
      <alignment vertical="center" wrapText="1"/>
    </xf>
    <xf numFmtId="3" fontId="14" fillId="0" borderId="7" xfId="2" applyNumberFormat="1" applyFont="1" applyBorder="1" applyAlignment="1">
      <alignment vertical="center"/>
    </xf>
    <xf numFmtId="0" fontId="15" fillId="0" borderId="0" xfId="2" applyFont="1" applyAlignment="1">
      <alignment vertical="center"/>
    </xf>
    <xf numFmtId="0" fontId="14" fillId="0" borderId="7" xfId="2" applyFont="1" applyBorder="1" applyAlignment="1">
      <alignment horizontal="center" vertical="center"/>
    </xf>
    <xf numFmtId="0" fontId="19" fillId="0" borderId="0" xfId="2" applyFont="1" applyAlignment="1">
      <alignment vertical="center"/>
    </xf>
    <xf numFmtId="0" fontId="11" fillId="0" borderId="0" xfId="2" applyFont="1" applyAlignment="1">
      <alignment vertical="center"/>
    </xf>
    <xf numFmtId="0" fontId="9" fillId="0" borderId="7" xfId="2" applyFont="1" applyFill="1" applyBorder="1" applyAlignment="1">
      <alignment horizontal="center" vertical="center"/>
    </xf>
    <xf numFmtId="3" fontId="14" fillId="0" borderId="7" xfId="2" applyNumberFormat="1" applyFont="1" applyFill="1" applyBorder="1" applyAlignment="1">
      <alignment vertical="center"/>
    </xf>
    <xf numFmtId="3" fontId="20" fillId="0" borderId="7" xfId="2" applyNumberFormat="1" applyFont="1" applyFill="1" applyBorder="1" applyAlignment="1">
      <alignment vertical="center"/>
    </xf>
    <xf numFmtId="3" fontId="20" fillId="0" borderId="7" xfId="2" applyNumberFormat="1" applyFont="1" applyBorder="1" applyAlignment="1">
      <alignment vertical="center"/>
    </xf>
    <xf numFmtId="0" fontId="11" fillId="0" borderId="0" xfId="2" applyFont="1" applyFill="1" applyAlignment="1">
      <alignment vertical="center"/>
    </xf>
    <xf numFmtId="0" fontId="14" fillId="0" borderId="0" xfId="2" applyFont="1" applyFill="1" applyAlignment="1">
      <alignment vertical="center"/>
    </xf>
    <xf numFmtId="0" fontId="9" fillId="0" borderId="0" xfId="2" applyFont="1" applyFill="1" applyAlignment="1">
      <alignment vertical="center"/>
    </xf>
    <xf numFmtId="0" fontId="9" fillId="0" borderId="7" xfId="2" applyFont="1" applyFill="1" applyBorder="1" applyAlignment="1">
      <alignment vertical="center" wrapText="1"/>
    </xf>
    <xf numFmtId="0" fontId="14" fillId="0" borderId="8" xfId="2" applyFont="1" applyBorder="1" applyAlignment="1">
      <alignment vertical="center"/>
    </xf>
    <xf numFmtId="0" fontId="14" fillId="0" borderId="8" xfId="2" applyFont="1" applyBorder="1" applyAlignment="1">
      <alignment vertical="center" wrapText="1"/>
    </xf>
    <xf numFmtId="3" fontId="14" fillId="0" borderId="8" xfId="2" applyNumberFormat="1" applyFont="1" applyBorder="1" applyAlignment="1">
      <alignment vertical="center"/>
    </xf>
    <xf numFmtId="0" fontId="14" fillId="0" borderId="0" xfId="2" applyFont="1" applyBorder="1" applyAlignment="1">
      <alignment vertical="center"/>
    </xf>
    <xf numFmtId="0" fontId="14" fillId="0" borderId="0" xfId="2" applyFont="1" applyBorder="1" applyAlignment="1">
      <alignment vertical="center" wrapText="1"/>
    </xf>
    <xf numFmtId="3" fontId="14" fillId="0" borderId="0" xfId="2" applyNumberFormat="1" applyFont="1" applyBorder="1" applyAlignment="1">
      <alignment vertical="center"/>
    </xf>
    <xf numFmtId="4" fontId="11" fillId="0" borderId="0" xfId="2" applyNumberFormat="1" applyFont="1" applyBorder="1" applyAlignment="1">
      <alignment vertical="center"/>
    </xf>
    <xf numFmtId="0" fontId="21" fillId="0" borderId="0" xfId="2" applyFont="1"/>
    <xf numFmtId="0" fontId="14" fillId="0" borderId="0" xfId="2" applyFont="1"/>
    <xf numFmtId="0" fontId="15" fillId="0" borderId="0" xfId="2" applyFont="1"/>
    <xf numFmtId="0" fontId="15" fillId="0" borderId="0" xfId="2" quotePrefix="1" applyFont="1"/>
    <xf numFmtId="0" fontId="9" fillId="0" borderId="0" xfId="3" applyFont="1" applyAlignment="1">
      <alignment horizontal="left"/>
    </xf>
    <xf numFmtId="0" fontId="10" fillId="0" borderId="0" xfId="3" applyFont="1" applyAlignment="1">
      <alignment horizontal="centerContinuous"/>
    </xf>
    <xf numFmtId="0" fontId="11" fillId="0" borderId="0" xfId="3" applyFont="1" applyAlignment="1">
      <alignment horizontal="centerContinuous"/>
    </xf>
    <xf numFmtId="0" fontId="9" fillId="0" borderId="0" xfId="3" applyFont="1" applyAlignment="1">
      <alignment horizontal="centerContinuous"/>
    </xf>
    <xf numFmtId="0" fontId="11" fillId="0" borderId="0" xfId="3" applyFont="1"/>
    <xf numFmtId="0" fontId="9" fillId="0" borderId="0" xfId="3" quotePrefix="1" applyFont="1" applyAlignment="1">
      <alignment horizontal="centerContinuous"/>
    </xf>
    <xf numFmtId="0" fontId="15" fillId="0" borderId="0" xfId="3" applyFont="1" applyAlignment="1">
      <alignment horizontal="left"/>
    </xf>
    <xf numFmtId="0" fontId="14" fillId="0" borderId="0" xfId="3" applyFont="1"/>
    <xf numFmtId="0" fontId="15" fillId="0" borderId="0" xfId="3" applyFont="1"/>
    <xf numFmtId="0" fontId="23" fillId="0" borderId="10" xfId="3" applyFont="1" applyBorder="1" applyAlignment="1">
      <alignment horizontal="centerContinuous"/>
    </xf>
    <xf numFmtId="0" fontId="23" fillId="0" borderId="11" xfId="3" applyFont="1" applyBorder="1" applyAlignment="1">
      <alignment horizontal="centerContinuous"/>
    </xf>
    <xf numFmtId="0" fontId="16" fillId="0" borderId="0" xfId="3" applyFont="1"/>
    <xf numFmtId="0" fontId="9" fillId="0" borderId="12" xfId="3" applyFont="1" applyBorder="1" applyAlignment="1">
      <alignment horizontal="centerContinuous"/>
    </xf>
    <xf numFmtId="0" fontId="9" fillId="0" borderId="5" xfId="3" applyFont="1" applyBorder="1" applyAlignment="1">
      <alignment horizontal="center" vertical="center" wrapText="1"/>
    </xf>
    <xf numFmtId="0" fontId="23" fillId="0" borderId="13" xfId="3" applyFont="1" applyBorder="1" applyAlignment="1">
      <alignment horizontal="center"/>
    </xf>
    <xf numFmtId="0" fontId="23" fillId="0" borderId="14" xfId="3" applyFont="1" applyBorder="1" applyAlignment="1">
      <alignment horizontal="center"/>
    </xf>
    <xf numFmtId="0" fontId="17" fillId="0" borderId="15" xfId="3" applyFont="1" applyBorder="1" applyAlignment="1">
      <alignment horizontal="center" vertical="center"/>
    </xf>
    <xf numFmtId="0" fontId="17" fillId="0" borderId="5" xfId="3" applyFont="1" applyBorder="1" applyAlignment="1">
      <alignment horizontal="center" vertical="center"/>
    </xf>
    <xf numFmtId="0" fontId="17" fillId="0" borderId="13" xfId="3" applyFont="1" applyBorder="1" applyAlignment="1">
      <alignment horizontal="center" vertical="center"/>
    </xf>
    <xf numFmtId="0" fontId="17" fillId="0" borderId="16" xfId="3" applyFont="1" applyBorder="1" applyAlignment="1">
      <alignment horizontal="center" vertical="center"/>
    </xf>
    <xf numFmtId="0" fontId="17" fillId="0" borderId="0" xfId="3" applyFont="1" applyAlignment="1">
      <alignment vertical="center"/>
    </xf>
    <xf numFmtId="0" fontId="9" fillId="0" borderId="6" xfId="2" applyFont="1" applyBorder="1" applyAlignment="1">
      <alignment horizontal="center" vertical="center" wrapText="1"/>
    </xf>
    <xf numFmtId="3" fontId="9" fillId="0" borderId="6" xfId="3" applyNumberFormat="1" applyFont="1" applyBorder="1" applyAlignment="1">
      <alignment horizontal="right" vertical="center"/>
    </xf>
    <xf numFmtId="3" fontId="14" fillId="0" borderId="17" xfId="3" applyNumberFormat="1" applyFont="1" applyBorder="1"/>
    <xf numFmtId="3" fontId="14" fillId="0" borderId="6" xfId="3" applyNumberFormat="1" applyFont="1" applyBorder="1"/>
    <xf numFmtId="3" fontId="9" fillId="0" borderId="7" xfId="3" applyNumberFormat="1" applyFont="1" applyBorder="1" applyAlignment="1">
      <alignment horizontal="right" vertical="center"/>
    </xf>
    <xf numFmtId="3" fontId="22" fillId="0" borderId="18" xfId="3" applyNumberFormat="1" applyFont="1" applyBorder="1"/>
    <xf numFmtId="3" fontId="22" fillId="0" borderId="7" xfId="3" applyNumberFormat="1" applyFont="1" applyBorder="1"/>
    <xf numFmtId="3" fontId="14" fillId="0" borderId="7" xfId="3" applyNumberFormat="1" applyFont="1" applyBorder="1" applyAlignment="1">
      <alignment horizontal="right" vertical="center"/>
    </xf>
    <xf numFmtId="0" fontId="15" fillId="0" borderId="7" xfId="2" quotePrefix="1" applyFont="1" applyBorder="1" applyAlignment="1">
      <alignment horizontal="center" vertical="center"/>
    </xf>
    <xf numFmtId="0" fontId="24" fillId="0" borderId="7" xfId="3" applyFont="1" applyBorder="1" applyAlignment="1">
      <alignment vertical="center" wrapText="1"/>
    </xf>
    <xf numFmtId="3" fontId="15" fillId="0" borderId="7" xfId="3" applyNumberFormat="1" applyFont="1" applyBorder="1" applyAlignment="1">
      <alignment horizontal="right" vertical="center"/>
    </xf>
    <xf numFmtId="3" fontId="15" fillId="0" borderId="18" xfId="3" applyNumberFormat="1" applyFont="1" applyBorder="1"/>
    <xf numFmtId="3" fontId="15" fillId="0" borderId="19" xfId="3" applyNumberFormat="1" applyFont="1" applyBorder="1"/>
    <xf numFmtId="3" fontId="14" fillId="0" borderId="18" xfId="3" applyNumberFormat="1" applyFont="1" applyBorder="1"/>
    <xf numFmtId="3" fontId="14" fillId="0" borderId="19" xfId="3" applyNumberFormat="1" applyFont="1" applyBorder="1"/>
    <xf numFmtId="0" fontId="15" fillId="0" borderId="7" xfId="2" applyFont="1" applyBorder="1" applyAlignment="1">
      <alignment vertical="center" wrapText="1"/>
    </xf>
    <xf numFmtId="3" fontId="15" fillId="0" borderId="0" xfId="4" applyNumberFormat="1" applyFont="1" applyAlignment="1"/>
    <xf numFmtId="3" fontId="14" fillId="0" borderId="20" xfId="3" applyNumberFormat="1" applyFont="1" applyBorder="1"/>
    <xf numFmtId="0" fontId="15" fillId="0" borderId="7" xfId="2" quotePrefix="1" applyFont="1" applyBorder="1" applyAlignment="1">
      <alignment vertical="center" wrapText="1"/>
    </xf>
    <xf numFmtId="0" fontId="25" fillId="3" borderId="7" xfId="2" applyFont="1" applyFill="1" applyBorder="1" applyAlignment="1">
      <alignment horizontal="center" vertical="center"/>
    </xf>
    <xf numFmtId="0" fontId="25" fillId="3" borderId="7" xfId="2" applyNumberFormat="1" applyFont="1" applyFill="1" applyBorder="1" applyAlignment="1">
      <alignment horizontal="left" vertical="center" wrapText="1"/>
    </xf>
    <xf numFmtId="3" fontId="26" fillId="0" borderId="7" xfId="3" applyNumberFormat="1" applyFont="1" applyBorder="1" applyAlignment="1">
      <alignment horizontal="right" vertical="center"/>
    </xf>
    <xf numFmtId="3" fontId="26" fillId="0" borderId="13" xfId="3" applyNumberFormat="1" applyFont="1" applyBorder="1"/>
    <xf numFmtId="3" fontId="26" fillId="0" borderId="14" xfId="3" applyNumberFormat="1" applyFont="1" applyBorder="1"/>
    <xf numFmtId="0" fontId="26" fillId="0" borderId="0" xfId="3" applyFont="1"/>
    <xf numFmtId="0" fontId="14" fillId="0" borderId="8" xfId="3" applyFont="1" applyBorder="1" applyAlignment="1">
      <alignment vertical="center"/>
    </xf>
    <xf numFmtId="0" fontId="14" fillId="0" borderId="8" xfId="3" applyFont="1" applyBorder="1" applyAlignment="1">
      <alignment vertical="center" wrapText="1"/>
    </xf>
    <xf numFmtId="3" fontId="14" fillId="0" borderId="8" xfId="3" applyNumberFormat="1" applyFont="1" applyBorder="1" applyAlignment="1">
      <alignment horizontal="right" vertical="center"/>
    </xf>
    <xf numFmtId="0" fontId="11" fillId="0" borderId="21" xfId="3" applyFont="1" applyBorder="1"/>
    <xf numFmtId="0" fontId="11" fillId="0" borderId="22" xfId="3" applyFont="1" applyBorder="1"/>
    <xf numFmtId="0" fontId="15" fillId="0" borderId="0" xfId="2" quotePrefix="1" applyFont="1" applyAlignment="1">
      <alignment horizontal="left"/>
    </xf>
    <xf numFmtId="0" fontId="15" fillId="0" borderId="13" xfId="2" quotePrefix="1" applyFont="1" applyBorder="1"/>
    <xf numFmtId="0" fontId="15" fillId="0" borderId="0" xfId="2" quotePrefix="1" applyFont="1" applyBorder="1"/>
    <xf numFmtId="10" fontId="9" fillId="0" borderId="6" xfId="2" applyNumberFormat="1" applyFont="1" applyBorder="1" applyAlignment="1">
      <alignment vertical="center"/>
    </xf>
    <xf numFmtId="10" fontId="9" fillId="0" borderId="7" xfId="2" applyNumberFormat="1" applyFont="1" applyBorder="1" applyAlignment="1">
      <alignment vertical="center"/>
    </xf>
    <xf numFmtId="10" fontId="14" fillId="0" borderId="7" xfId="2" applyNumberFormat="1" applyFont="1" applyBorder="1" applyAlignment="1">
      <alignment vertical="center"/>
    </xf>
    <xf numFmtId="10" fontId="11" fillId="0" borderId="7" xfId="2" applyNumberFormat="1" applyFont="1" applyBorder="1" applyAlignment="1">
      <alignment vertical="center"/>
    </xf>
    <xf numFmtId="10" fontId="11" fillId="0" borderId="8" xfId="2" applyNumberFormat="1" applyFont="1" applyBorder="1" applyAlignment="1">
      <alignment vertical="center"/>
    </xf>
    <xf numFmtId="3" fontId="28" fillId="0" borderId="7" xfId="3" applyNumberFormat="1" applyFont="1" applyBorder="1" applyAlignment="1">
      <alignment horizontal="right" vertical="center"/>
    </xf>
    <xf numFmtId="0" fontId="9" fillId="0" borderId="5" xfId="3" applyFont="1" applyBorder="1" applyAlignment="1">
      <alignment horizontal="center" vertical="center" wrapText="1"/>
    </xf>
    <xf numFmtId="0" fontId="30" fillId="0" borderId="0" xfId="0" applyFont="1" applyAlignment="1">
      <alignment vertical="center"/>
    </xf>
    <xf numFmtId="0" fontId="30" fillId="0" borderId="0" xfId="0" applyFont="1" applyAlignment="1">
      <alignment horizontal="center" vertical="center" wrapText="1"/>
    </xf>
    <xf numFmtId="37" fontId="31" fillId="2" borderId="1" xfId="0" applyNumberFormat="1" applyFont="1" applyFill="1" applyBorder="1" applyAlignment="1">
      <alignment horizontal="right" vertical="center" wrapText="1"/>
    </xf>
    <xf numFmtId="10" fontId="9" fillId="0" borderId="9" xfId="3" applyNumberFormat="1" applyFont="1" applyBorder="1" applyAlignment="1">
      <alignment horizontal="right" vertical="center"/>
    </xf>
    <xf numFmtId="10" fontId="9" fillId="0" borderId="7" xfId="3" applyNumberFormat="1" applyFont="1" applyBorder="1" applyAlignment="1">
      <alignment horizontal="right" vertical="center"/>
    </xf>
    <xf numFmtId="10" fontId="15" fillId="0" borderId="7" xfId="3" applyNumberFormat="1" applyFont="1" applyBorder="1" applyAlignment="1">
      <alignment horizontal="right" vertical="center"/>
    </xf>
    <xf numFmtId="10" fontId="14" fillId="0" borderId="7" xfId="3" applyNumberFormat="1" applyFont="1" applyBorder="1" applyAlignment="1">
      <alignment horizontal="right" vertical="center"/>
    </xf>
    <xf numFmtId="10" fontId="26" fillId="0" borderId="7" xfId="3" applyNumberFormat="1" applyFont="1" applyBorder="1" applyAlignment="1">
      <alignment horizontal="right" vertical="center"/>
    </xf>
    <xf numFmtId="10" fontId="14" fillId="0" borderId="8" xfId="3" applyNumberFormat="1" applyFont="1" applyBorder="1" applyAlignment="1">
      <alignment horizontal="right" vertical="center"/>
    </xf>
    <xf numFmtId="0" fontId="33" fillId="0" borderId="0" xfId="3" applyFont="1" applyBorder="1"/>
    <xf numFmtId="0" fontId="33" fillId="0" borderId="0" xfId="3" applyFont="1"/>
    <xf numFmtId="0" fontId="33" fillId="0" borderId="0" xfId="3" quotePrefix="1" applyFont="1" applyBorder="1" applyAlignment="1">
      <alignment vertical="center"/>
    </xf>
    <xf numFmtId="0" fontId="33" fillId="0" borderId="0" xfId="3" applyFont="1" applyBorder="1" applyAlignment="1">
      <alignment vertical="center" wrapText="1"/>
    </xf>
    <xf numFmtId="3" fontId="33" fillId="0" borderId="0" xfId="3" applyNumberFormat="1" applyFont="1" applyBorder="1" applyAlignment="1">
      <alignment horizontal="right" vertical="center"/>
    </xf>
    <xf numFmtId="4" fontId="33" fillId="0" borderId="0" xfId="3" applyNumberFormat="1" applyFont="1" applyBorder="1" applyAlignment="1">
      <alignment horizontal="right" vertical="center"/>
    </xf>
    <xf numFmtId="0" fontId="30" fillId="0" borderId="0" xfId="1" applyFont="1" applyAlignment="1"/>
    <xf numFmtId="0" fontId="30" fillId="0" borderId="0" xfId="1" applyFont="1" applyAlignment="1">
      <alignment horizontal="center" vertical="top"/>
    </xf>
    <xf numFmtId="0" fontId="34" fillId="0" borderId="0" xfId="1" applyFont="1" applyAlignment="1">
      <alignment horizontal="right" vertical="top"/>
    </xf>
    <xf numFmtId="0" fontId="30" fillId="0" borderId="0" xfId="1" applyFont="1" applyAlignment="1">
      <alignment horizontal="center" vertical="top" wrapText="1"/>
    </xf>
    <xf numFmtId="0" fontId="30" fillId="0" borderId="0" xfId="1" applyFont="1"/>
    <xf numFmtId="0" fontId="35" fillId="0" borderId="0" xfId="1" applyFont="1" applyAlignment="1">
      <alignment horizontal="left" vertical="top"/>
    </xf>
    <xf numFmtId="0" fontId="29" fillId="2" borderId="5" xfId="1" applyFont="1" applyFill="1" applyBorder="1" applyAlignment="1">
      <alignment horizontal="center" vertical="center" wrapText="1"/>
    </xf>
    <xf numFmtId="0" fontId="30" fillId="2" borderId="6" xfId="1" applyFont="1" applyFill="1" applyBorder="1" applyAlignment="1">
      <alignment horizontal="center" vertical="center" wrapText="1"/>
    </xf>
    <xf numFmtId="0" fontId="30" fillId="2" borderId="7" xfId="1" applyFont="1" applyFill="1" applyBorder="1" applyAlignment="1">
      <alignment horizontal="center" vertical="center" wrapText="1"/>
    </xf>
    <xf numFmtId="0" fontId="30" fillId="2" borderId="7" xfId="1" applyFont="1" applyFill="1" applyBorder="1" applyAlignment="1">
      <alignment horizontal="left" vertical="center" wrapText="1"/>
    </xf>
    <xf numFmtId="165" fontId="30" fillId="2" borderId="7" xfId="1" applyNumberFormat="1" applyFont="1" applyFill="1" applyBorder="1" applyAlignment="1">
      <alignment horizontal="right" vertical="center" wrapText="1"/>
    </xf>
    <xf numFmtId="0" fontId="29" fillId="2" borderId="7" xfId="1" applyFont="1" applyFill="1" applyBorder="1" applyAlignment="1">
      <alignment horizontal="center" vertical="center" wrapText="1"/>
    </xf>
    <xf numFmtId="0" fontId="29" fillId="2" borderId="7" xfId="1" applyFont="1" applyFill="1" applyBorder="1" applyAlignment="1">
      <alignment horizontal="left" vertical="center" wrapText="1"/>
    </xf>
    <xf numFmtId="165" fontId="29" fillId="2" borderId="7" xfId="1" applyNumberFormat="1" applyFont="1" applyFill="1" applyBorder="1" applyAlignment="1">
      <alignment horizontal="right" vertical="center" wrapText="1"/>
    </xf>
    <xf numFmtId="0" fontId="30" fillId="2" borderId="7" xfId="1" quotePrefix="1" applyFont="1" applyFill="1" applyBorder="1" applyAlignment="1">
      <alignment horizontal="center" vertical="center" wrapText="1"/>
    </xf>
    <xf numFmtId="0" fontId="29" fillId="2" borderId="6" xfId="1" applyFont="1" applyFill="1" applyBorder="1" applyAlignment="1">
      <alignment horizontal="center" vertical="center" wrapText="1"/>
    </xf>
    <xf numFmtId="0" fontId="29" fillId="0" borderId="0" xfId="1" applyFont="1"/>
    <xf numFmtId="0" fontId="29" fillId="2" borderId="5" xfId="0" applyFont="1" applyFill="1" applyBorder="1" applyAlignment="1">
      <alignment horizontal="center" vertical="center" wrapText="1"/>
    </xf>
    <xf numFmtId="0" fontId="30" fillId="2" borderId="7" xfId="0" applyFont="1" applyFill="1" applyBorder="1" applyAlignment="1">
      <alignment horizontal="center" vertical="center" wrapText="1"/>
    </xf>
    <xf numFmtId="0" fontId="30" fillId="2" borderId="7" xfId="0" applyFont="1" applyFill="1" applyBorder="1" applyAlignment="1">
      <alignment horizontal="left" vertical="center" wrapText="1"/>
    </xf>
    <xf numFmtId="37" fontId="30" fillId="2" borderId="7" xfId="0" applyNumberFormat="1" applyFont="1" applyFill="1" applyBorder="1" applyAlignment="1">
      <alignment horizontal="right" vertical="center" wrapText="1"/>
    </xf>
    <xf numFmtId="0" fontId="29" fillId="2" borderId="5" xfId="1" applyFont="1" applyFill="1" applyBorder="1" applyAlignment="1">
      <alignment horizontal="center" vertical="center" wrapText="1"/>
    </xf>
    <xf numFmtId="0" fontId="29" fillId="2" borderId="6" xfId="0" applyFont="1" applyFill="1" applyBorder="1" applyAlignment="1">
      <alignment horizontal="center" vertical="center" wrapText="1"/>
    </xf>
    <xf numFmtId="37" fontId="29" fillId="2" borderId="6" xfId="0" applyNumberFormat="1" applyFont="1" applyFill="1" applyBorder="1" applyAlignment="1">
      <alignment horizontal="right" vertical="center" wrapText="1"/>
    </xf>
    <xf numFmtId="0" fontId="29" fillId="0" borderId="0" xfId="0" applyFont="1" applyAlignment="1">
      <alignment vertical="center"/>
    </xf>
    <xf numFmtId="0" fontId="29" fillId="2" borderId="7" xfId="0" applyFont="1" applyFill="1" applyBorder="1" applyAlignment="1">
      <alignment horizontal="center" vertical="center" wrapText="1"/>
    </xf>
    <xf numFmtId="0" fontId="29" fillId="2" borderId="7" xfId="0" applyFont="1" applyFill="1" applyBorder="1" applyAlignment="1">
      <alignment horizontal="left" vertical="center" wrapText="1"/>
    </xf>
    <xf numFmtId="37" fontId="29" fillId="2" borderId="7" xfId="0" applyNumberFormat="1" applyFont="1" applyFill="1" applyBorder="1" applyAlignment="1">
      <alignment horizontal="right" vertical="center" wrapText="1"/>
    </xf>
    <xf numFmtId="10" fontId="29" fillId="2" borderId="6" xfId="0" applyNumberFormat="1" applyFont="1" applyFill="1" applyBorder="1" applyAlignment="1">
      <alignment horizontal="right" vertical="center" wrapText="1"/>
    </xf>
    <xf numFmtId="10" fontId="29" fillId="2" borderId="7" xfId="0" applyNumberFormat="1" applyFont="1" applyFill="1" applyBorder="1" applyAlignment="1">
      <alignment horizontal="right" vertical="center" wrapText="1"/>
    </xf>
    <xf numFmtId="10" fontId="30" fillId="2" borderId="7" xfId="0" applyNumberFormat="1" applyFont="1" applyFill="1" applyBorder="1" applyAlignment="1">
      <alignment horizontal="right" vertical="center" wrapText="1"/>
    </xf>
    <xf numFmtId="0" fontId="30" fillId="2" borderId="7" xfId="0" quotePrefix="1" applyFont="1" applyFill="1" applyBorder="1" applyAlignment="1">
      <alignment horizontal="center" vertical="center" wrapText="1"/>
    </xf>
    <xf numFmtId="0" fontId="29" fillId="2" borderId="7" xfId="0" quotePrefix="1" applyFont="1" applyFill="1" applyBorder="1" applyAlignment="1">
      <alignment horizontal="center" vertical="center" wrapText="1"/>
    </xf>
    <xf numFmtId="0" fontId="36" fillId="0" borderId="7" xfId="0" applyFont="1" applyBorder="1" applyAlignment="1">
      <alignment vertical="center" wrapText="1"/>
    </xf>
    <xf numFmtId="0" fontId="29" fillId="2" borderId="8" xfId="0" applyFont="1" applyFill="1" applyBorder="1" applyAlignment="1">
      <alignment horizontal="center" vertical="center" wrapText="1"/>
    </xf>
    <xf numFmtId="0" fontId="29" fillId="2" borderId="8" xfId="0" applyFont="1" applyFill="1" applyBorder="1" applyAlignment="1">
      <alignment horizontal="left" vertical="center" wrapText="1"/>
    </xf>
    <xf numFmtId="37" fontId="29" fillId="2" borderId="8" xfId="0" applyNumberFormat="1" applyFont="1" applyFill="1" applyBorder="1" applyAlignment="1">
      <alignment horizontal="right" vertical="center" wrapText="1"/>
    </xf>
    <xf numFmtId="10" fontId="29" fillId="2" borderId="8" xfId="0" applyNumberFormat="1" applyFont="1" applyFill="1" applyBorder="1" applyAlignment="1">
      <alignment horizontal="right" vertical="center" wrapText="1"/>
    </xf>
    <xf numFmtId="0" fontId="38" fillId="0" borderId="0" xfId="0" applyFont="1" applyAlignment="1">
      <alignment vertical="center"/>
    </xf>
    <xf numFmtId="0" fontId="41" fillId="0" borderId="0" xfId="0" applyFont="1" applyAlignment="1">
      <alignment vertical="center"/>
    </xf>
    <xf numFmtId="3" fontId="29" fillId="2" borderId="6" xfId="1" applyNumberFormat="1" applyFont="1" applyFill="1" applyBorder="1" applyAlignment="1">
      <alignment horizontal="right" vertical="center" wrapText="1"/>
    </xf>
    <xf numFmtId="3" fontId="29" fillId="2" borderId="7" xfId="1" applyNumberFormat="1" applyFont="1" applyFill="1" applyBorder="1" applyAlignment="1">
      <alignment horizontal="right" vertical="center" wrapText="1"/>
    </xf>
    <xf numFmtId="3" fontId="30" fillId="2" borderId="7" xfId="1" applyNumberFormat="1" applyFont="1" applyFill="1" applyBorder="1" applyAlignment="1">
      <alignment horizontal="right" vertical="center" wrapText="1"/>
    </xf>
    <xf numFmtId="0" fontId="29" fillId="2" borderId="7" xfId="1" applyFont="1" applyFill="1" applyBorder="1" applyAlignment="1">
      <alignment horizontal="right" vertical="center" wrapText="1"/>
    </xf>
    <xf numFmtId="0" fontId="29" fillId="2" borderId="8" xfId="1" applyFont="1" applyFill="1" applyBorder="1" applyAlignment="1">
      <alignment horizontal="center" vertical="center" wrapText="1"/>
    </xf>
    <xf numFmtId="0" fontId="29" fillId="2" borderId="8" xfId="1" applyFont="1" applyFill="1" applyBorder="1" applyAlignment="1">
      <alignment horizontal="left" vertical="center" wrapText="1"/>
    </xf>
    <xf numFmtId="3" fontId="29" fillId="2" borderId="8" xfId="1" applyNumberFormat="1" applyFont="1" applyFill="1" applyBorder="1" applyAlignment="1">
      <alignment horizontal="right" vertical="center" wrapText="1"/>
    </xf>
    <xf numFmtId="165" fontId="29" fillId="2" borderId="8" xfId="1" applyNumberFormat="1" applyFont="1" applyFill="1" applyBorder="1" applyAlignment="1">
      <alignment horizontal="right" vertical="center" wrapText="1"/>
    </xf>
    <xf numFmtId="3" fontId="42" fillId="2" borderId="7" xfId="1" applyNumberFormat="1" applyFont="1" applyFill="1" applyBorder="1" applyAlignment="1">
      <alignment horizontal="right" vertical="center" wrapText="1"/>
    </xf>
    <xf numFmtId="0" fontId="3" fillId="0" borderId="0" xfId="1" applyAlignment="1">
      <alignment vertical="center"/>
    </xf>
    <xf numFmtId="3" fontId="30" fillId="0" borderId="0" xfId="1" applyNumberFormat="1" applyFont="1" applyAlignment="1"/>
    <xf numFmtId="3" fontId="30" fillId="0" borderId="0" xfId="1" applyNumberFormat="1" applyFont="1"/>
    <xf numFmtId="3" fontId="29" fillId="0" borderId="0" xfId="1" applyNumberFormat="1" applyFont="1"/>
    <xf numFmtId="3" fontId="42" fillId="2" borderId="16" xfId="1" applyNumberFormat="1" applyFont="1" applyFill="1" applyBorder="1" applyAlignment="1">
      <alignment horizontal="right" vertical="center" wrapText="1"/>
    </xf>
    <xf numFmtId="3" fontId="30" fillId="0" borderId="0" xfId="1" applyNumberFormat="1" applyFont="1" applyBorder="1" applyAlignment="1">
      <alignment vertical="center"/>
    </xf>
    <xf numFmtId="0" fontId="30" fillId="0" borderId="0" xfId="1" applyFont="1" applyBorder="1" applyAlignment="1">
      <alignment vertical="center"/>
    </xf>
    <xf numFmtId="3" fontId="30" fillId="0" borderId="0" xfId="1" applyNumberFormat="1" applyFont="1" applyAlignment="1">
      <alignment vertical="center"/>
    </xf>
    <xf numFmtId="3" fontId="29" fillId="0" borderId="0" xfId="1" applyNumberFormat="1" applyFont="1" applyBorder="1" applyAlignment="1">
      <alignment vertical="center"/>
    </xf>
    <xf numFmtId="0" fontId="29" fillId="0" borderId="0" xfId="1" applyFont="1" applyBorder="1" applyAlignment="1">
      <alignment vertical="center"/>
    </xf>
    <xf numFmtId="3" fontId="29" fillId="0" borderId="0" xfId="1" applyNumberFormat="1" applyFont="1" applyAlignment="1">
      <alignment vertical="center"/>
    </xf>
    <xf numFmtId="3" fontId="42" fillId="0" borderId="0" xfId="1" applyNumberFormat="1" applyFont="1" applyBorder="1" applyAlignment="1">
      <alignment vertical="center"/>
    </xf>
    <xf numFmtId="3" fontId="29" fillId="0" borderId="0" xfId="1" applyNumberFormat="1" applyFont="1" applyBorder="1" applyAlignment="1">
      <alignment horizontal="center" vertical="center"/>
    </xf>
    <xf numFmtId="3" fontId="29" fillId="0" borderId="0" xfId="1" applyNumberFormat="1" applyFont="1" applyAlignment="1">
      <alignment horizontal="center" vertical="center"/>
    </xf>
    <xf numFmtId="3" fontId="45" fillId="0" borderId="0" xfId="1" applyNumberFormat="1" applyFont="1" applyBorder="1" applyAlignment="1">
      <alignment vertical="center"/>
    </xf>
    <xf numFmtId="169" fontId="29" fillId="2" borderId="7" xfId="1" applyNumberFormat="1" applyFont="1" applyFill="1" applyBorder="1" applyAlignment="1">
      <alignment horizontal="right" vertical="center" wrapText="1"/>
    </xf>
    <xf numFmtId="169" fontId="30" fillId="2" borderId="7" xfId="1" applyNumberFormat="1" applyFont="1" applyFill="1" applyBorder="1" applyAlignment="1">
      <alignment horizontal="right" vertical="center" wrapText="1"/>
    </xf>
    <xf numFmtId="169" fontId="29" fillId="2" borderId="8" xfId="1" applyNumberFormat="1" applyFont="1" applyFill="1" applyBorder="1" applyAlignment="1">
      <alignment horizontal="right" vertical="center" wrapText="1"/>
    </xf>
    <xf numFmtId="10" fontId="30" fillId="2" borderId="6" xfId="1" applyNumberFormat="1" applyFont="1" applyFill="1" applyBorder="1" applyAlignment="1">
      <alignment horizontal="right" vertical="center" wrapText="1"/>
    </xf>
    <xf numFmtId="10" fontId="30" fillId="2" borderId="7" xfId="1" applyNumberFormat="1" applyFont="1" applyFill="1" applyBorder="1" applyAlignment="1">
      <alignment horizontal="right" vertical="center" wrapText="1"/>
    </xf>
    <xf numFmtId="10" fontId="30" fillId="2" borderId="8" xfId="1" applyNumberFormat="1" applyFont="1" applyFill="1" applyBorder="1" applyAlignment="1">
      <alignment horizontal="right" vertical="center" wrapText="1"/>
    </xf>
    <xf numFmtId="169" fontId="29" fillId="2" borderId="6" xfId="1" applyNumberFormat="1" applyFont="1" applyFill="1" applyBorder="1" applyAlignment="1">
      <alignment horizontal="right" vertical="center" wrapText="1"/>
    </xf>
    <xf numFmtId="0" fontId="35" fillId="2" borderId="7" xfId="1" applyFont="1" applyFill="1" applyBorder="1" applyAlignment="1">
      <alignment horizontal="center" vertical="center" wrapText="1"/>
    </xf>
    <xf numFmtId="0" fontId="35" fillId="2" borderId="7" xfId="1" applyFont="1" applyFill="1" applyBorder="1" applyAlignment="1">
      <alignment horizontal="left" vertical="center" wrapText="1"/>
    </xf>
    <xf numFmtId="169" fontId="35" fillId="2" borderId="7" xfId="1" applyNumberFormat="1" applyFont="1" applyFill="1" applyBorder="1" applyAlignment="1">
      <alignment horizontal="right" vertical="center" wrapText="1"/>
    </xf>
    <xf numFmtId="10" fontId="35" fillId="2" borderId="7" xfId="1" applyNumberFormat="1" applyFont="1" applyFill="1" applyBorder="1" applyAlignment="1">
      <alignment horizontal="right" vertical="center" wrapText="1"/>
    </xf>
    <xf numFmtId="0" fontId="35" fillId="0" borderId="0" xfId="1" applyFont="1"/>
    <xf numFmtId="10" fontId="29" fillId="2" borderId="7" xfId="1" applyNumberFormat="1" applyFont="1" applyFill="1" applyBorder="1" applyAlignment="1">
      <alignment horizontal="right" vertical="center" wrapText="1"/>
    </xf>
    <xf numFmtId="0" fontId="29" fillId="0" borderId="0" xfId="1" applyFont="1" applyAlignment="1">
      <alignment vertical="center" wrapText="1"/>
    </xf>
    <xf numFmtId="0" fontId="29" fillId="2" borderId="0" xfId="0" applyFont="1" applyFill="1" applyAlignment="1">
      <alignment vertical="center" wrapText="1"/>
    </xf>
    <xf numFmtId="0" fontId="30" fillId="0" borderId="7" xfId="0" applyFont="1" applyBorder="1" applyAlignment="1">
      <alignment vertical="center" wrapText="1"/>
    </xf>
    <xf numFmtId="0" fontId="51" fillId="0" borderId="7" xfId="2" applyFont="1" applyBorder="1" applyAlignment="1">
      <alignment vertical="center" wrapText="1"/>
    </xf>
    <xf numFmtId="3" fontId="52" fillId="0" borderId="7" xfId="6" applyNumberFormat="1" applyFont="1" applyBorder="1" applyAlignment="1">
      <alignment horizontal="right" vertical="center" wrapText="1"/>
    </xf>
    <xf numFmtId="0" fontId="6" fillId="2" borderId="26" xfId="1" applyFont="1" applyFill="1" applyBorder="1" applyAlignment="1">
      <alignment horizontal="left" vertical="center" wrapText="1"/>
    </xf>
    <xf numFmtId="3" fontId="6" fillId="2" borderId="26" xfId="1" applyNumberFormat="1" applyFont="1" applyFill="1" applyBorder="1" applyAlignment="1">
      <alignment horizontal="right" vertical="center" wrapText="1"/>
    </xf>
    <xf numFmtId="0" fontId="6" fillId="2" borderId="27" xfId="1" applyFont="1" applyFill="1" applyBorder="1" applyAlignment="1">
      <alignment horizontal="left" vertical="center" wrapText="1"/>
    </xf>
    <xf numFmtId="3" fontId="6" fillId="2" borderId="27" xfId="1" applyNumberFormat="1" applyFont="1" applyFill="1" applyBorder="1" applyAlignment="1">
      <alignment horizontal="right" vertical="center" wrapText="1"/>
    </xf>
    <xf numFmtId="0" fontId="1" fillId="2" borderId="26" xfId="1" applyFont="1" applyFill="1" applyBorder="1" applyAlignment="1">
      <alignment horizontal="left" vertical="center" wrapText="1"/>
    </xf>
    <xf numFmtId="0" fontId="1" fillId="2" borderId="26" xfId="1" applyFont="1" applyFill="1" applyBorder="1" applyAlignment="1">
      <alignment horizontal="center" vertical="center" wrapText="1"/>
    </xf>
    <xf numFmtId="0" fontId="1" fillId="2" borderId="28" xfId="1" applyFont="1" applyFill="1" applyBorder="1" applyAlignment="1">
      <alignment horizontal="center" vertical="center" wrapText="1"/>
    </xf>
    <xf numFmtId="0" fontId="1" fillId="2" borderId="29" xfId="1" applyFont="1" applyFill="1" applyBorder="1" applyAlignment="1">
      <alignment horizontal="center" vertical="center" wrapText="1"/>
    </xf>
    <xf numFmtId="3" fontId="1" fillId="2" borderId="28" xfId="1" applyNumberFormat="1" applyFont="1" applyFill="1" applyBorder="1" applyAlignment="1">
      <alignment horizontal="right" vertical="center" wrapText="1"/>
    </xf>
    <xf numFmtId="0" fontId="53" fillId="0" borderId="0" xfId="1" applyFont="1" applyAlignment="1">
      <alignment vertical="center"/>
    </xf>
    <xf numFmtId="0" fontId="53" fillId="2" borderId="28" xfId="1" applyFont="1" applyFill="1" applyBorder="1" applyAlignment="1">
      <alignment horizontal="center" vertical="center" wrapText="1"/>
    </xf>
    <xf numFmtId="0" fontId="6" fillId="2" borderId="26" xfId="1" applyFont="1" applyFill="1" applyBorder="1" applyAlignment="1">
      <alignment horizontal="center" vertical="center" wrapText="1"/>
    </xf>
    <xf numFmtId="0" fontId="5" fillId="0" borderId="0" xfId="1" applyFont="1" applyAlignment="1">
      <alignment vertical="center"/>
    </xf>
    <xf numFmtId="3" fontId="1" fillId="2" borderId="26" xfId="1" applyNumberFormat="1" applyFont="1" applyFill="1" applyBorder="1" applyAlignment="1">
      <alignment horizontal="right" vertical="center" wrapText="1"/>
    </xf>
    <xf numFmtId="0" fontId="6" fillId="2" borderId="30" xfId="1" applyFont="1" applyFill="1" applyBorder="1" applyAlignment="1">
      <alignment horizontal="center" vertical="center" wrapText="1"/>
    </xf>
    <xf numFmtId="0" fontId="6" fillId="2" borderId="30" xfId="1" applyFont="1" applyFill="1" applyBorder="1" applyAlignment="1">
      <alignment horizontal="left" vertical="center" wrapText="1"/>
    </xf>
    <xf numFmtId="3" fontId="6" fillId="2" borderId="30" xfId="1" applyNumberFormat="1" applyFont="1" applyFill="1" applyBorder="1" applyAlignment="1">
      <alignment horizontal="right" vertical="center" wrapText="1"/>
    </xf>
    <xf numFmtId="0" fontId="6" fillId="2" borderId="27" xfId="1" quotePrefix="1" applyFont="1" applyFill="1" applyBorder="1" applyAlignment="1">
      <alignment horizontal="center" vertical="center" wrapText="1"/>
    </xf>
    <xf numFmtId="10" fontId="1" fillId="2" borderId="26" xfId="1" applyNumberFormat="1" applyFont="1" applyFill="1" applyBorder="1" applyAlignment="1">
      <alignment horizontal="right" vertical="center" wrapText="1"/>
    </xf>
    <xf numFmtId="10" fontId="6" fillId="2" borderId="26" xfId="1" applyNumberFormat="1" applyFont="1" applyFill="1" applyBorder="1" applyAlignment="1">
      <alignment horizontal="right" vertical="center" wrapText="1"/>
    </xf>
    <xf numFmtId="0" fontId="6" fillId="2" borderId="0" xfId="1" applyFont="1" applyFill="1" applyBorder="1" applyAlignment="1">
      <alignment horizontal="center" vertical="center"/>
    </xf>
    <xf numFmtId="0" fontId="6" fillId="2" borderId="0" xfId="1" applyFont="1" applyFill="1" applyBorder="1" applyAlignment="1">
      <alignment horizontal="left" vertical="center"/>
    </xf>
    <xf numFmtId="3" fontId="6" fillId="2" borderId="0" xfId="1" applyNumberFormat="1" applyFont="1" applyFill="1" applyBorder="1" applyAlignment="1">
      <alignment horizontal="right" vertical="center"/>
    </xf>
    <xf numFmtId="0" fontId="3" fillId="0" borderId="0" xfId="1" applyFont="1" applyAlignment="1">
      <alignment vertical="center"/>
    </xf>
    <xf numFmtId="0" fontId="54" fillId="0" borderId="4" xfId="1" applyFont="1" applyBorder="1" applyAlignment="1">
      <alignment horizontal="center" vertical="center" wrapText="1"/>
    </xf>
    <xf numFmtId="0" fontId="56" fillId="0" borderId="26" xfId="1" applyFont="1" applyBorder="1" applyAlignment="1">
      <alignment horizontal="center" vertical="center" wrapText="1"/>
    </xf>
    <xf numFmtId="0" fontId="56" fillId="0" borderId="26" xfId="1" applyFont="1" applyBorder="1" applyAlignment="1">
      <alignment horizontal="left" vertical="center" wrapText="1"/>
    </xf>
    <xf numFmtId="3" fontId="56" fillId="0" borderId="26" xfId="1" applyNumberFormat="1" applyFont="1" applyBorder="1" applyAlignment="1">
      <alignment horizontal="right" vertical="center" wrapText="1"/>
    </xf>
    <xf numFmtId="0" fontId="56" fillId="0" borderId="27" xfId="1" applyFont="1" applyBorder="1" applyAlignment="1">
      <alignment horizontal="left" vertical="center" wrapText="1"/>
    </xf>
    <xf numFmtId="3" fontId="56" fillId="0" borderId="27" xfId="1" applyNumberFormat="1" applyFont="1" applyBorder="1" applyAlignment="1">
      <alignment horizontal="right" vertical="center" wrapText="1"/>
    </xf>
    <xf numFmtId="0" fontId="56" fillId="0" borderId="0" xfId="1" applyFont="1" applyBorder="1" applyAlignment="1">
      <alignment horizontal="left" vertical="center" wrapText="1"/>
    </xf>
    <xf numFmtId="3" fontId="56" fillId="0" borderId="0" xfId="1" applyNumberFormat="1" applyFont="1" applyBorder="1" applyAlignment="1">
      <alignment horizontal="right" vertical="center" wrapText="1"/>
    </xf>
    <xf numFmtId="0" fontId="3" fillId="0" borderId="0" xfId="1" applyFont="1" applyBorder="1" applyAlignment="1">
      <alignment vertical="center" wrapText="1"/>
    </xf>
    <xf numFmtId="0" fontId="56" fillId="0" borderId="27" xfId="1" applyFont="1" applyBorder="1" applyAlignment="1">
      <alignment horizontal="center" vertical="center" wrapText="1"/>
    </xf>
    <xf numFmtId="0" fontId="53" fillId="0" borderId="31" xfId="1" applyFont="1" applyBorder="1" applyAlignment="1">
      <alignment horizontal="center" vertical="center" wrapText="1"/>
    </xf>
    <xf numFmtId="0" fontId="54" fillId="0" borderId="31" xfId="1" applyFont="1" applyBorder="1" applyAlignment="1">
      <alignment horizontal="center" vertical="center" wrapText="1"/>
    </xf>
    <xf numFmtId="3" fontId="54" fillId="0" borderId="31" xfId="1" applyNumberFormat="1" applyFont="1" applyBorder="1" applyAlignment="1">
      <alignment horizontal="right" vertical="center" wrapText="1"/>
    </xf>
    <xf numFmtId="0" fontId="53" fillId="0" borderId="31" xfId="1" applyFont="1" applyBorder="1" applyAlignment="1">
      <alignment vertical="center" wrapText="1"/>
    </xf>
    <xf numFmtId="3" fontId="56" fillId="0" borderId="32" xfId="1" applyNumberFormat="1" applyFont="1" applyBorder="1" applyAlignment="1">
      <alignment horizontal="right" vertical="center" wrapText="1"/>
    </xf>
    <xf numFmtId="0" fontId="53" fillId="0" borderId="28" xfId="1" applyFont="1" applyBorder="1" applyAlignment="1">
      <alignment horizontal="center" vertical="center" wrapText="1"/>
    </xf>
    <xf numFmtId="0" fontId="54" fillId="0" borderId="28" xfId="1" applyFont="1" applyBorder="1" applyAlignment="1">
      <alignment horizontal="center" vertical="center" wrapText="1"/>
    </xf>
    <xf numFmtId="3" fontId="54" fillId="0" borderId="28" xfId="1" applyNumberFormat="1" applyFont="1" applyBorder="1" applyAlignment="1">
      <alignment horizontal="right" vertical="center" wrapText="1"/>
    </xf>
    <xf numFmtId="10" fontId="53" fillId="0" borderId="31" xfId="1" applyNumberFormat="1" applyFont="1" applyBorder="1" applyAlignment="1">
      <alignment vertical="center" wrapText="1"/>
    </xf>
    <xf numFmtId="10" fontId="3" fillId="0" borderId="26" xfId="1" applyNumberFormat="1" applyFont="1" applyBorder="1" applyAlignment="1">
      <alignment vertical="center" wrapText="1"/>
    </xf>
    <xf numFmtId="10" fontId="3" fillId="0" borderId="32" xfId="1" applyNumberFormat="1" applyFont="1" applyBorder="1" applyAlignment="1">
      <alignment vertical="center" wrapText="1"/>
    </xf>
    <xf numFmtId="0" fontId="54" fillId="0" borderId="0" xfId="1" applyFont="1" applyAlignment="1">
      <alignment vertical="center"/>
    </xf>
    <xf numFmtId="0" fontId="60" fillId="0" borderId="0" xfId="1" applyFont="1" applyAlignment="1">
      <alignment vertical="center"/>
    </xf>
    <xf numFmtId="0" fontId="53" fillId="0" borderId="0" xfId="1" applyFont="1"/>
    <xf numFmtId="0" fontId="3" fillId="0" borderId="0" xfId="1" applyFont="1"/>
    <xf numFmtId="10" fontId="56" fillId="0" borderId="26" xfId="1" applyNumberFormat="1" applyFont="1" applyBorder="1" applyAlignment="1">
      <alignment horizontal="right" vertical="center" wrapText="1"/>
    </xf>
    <xf numFmtId="0" fontId="1" fillId="0" borderId="0" xfId="1" applyFont="1" applyAlignment="1">
      <alignment vertical="center"/>
    </xf>
    <xf numFmtId="0" fontId="61" fillId="0" borderId="0" xfId="1" applyFont="1" applyAlignment="1">
      <alignment vertical="center"/>
    </xf>
    <xf numFmtId="0" fontId="30" fillId="0" borderId="0" xfId="1" applyFont="1" applyAlignment="1">
      <alignment vertical="center"/>
    </xf>
    <xf numFmtId="0" fontId="62" fillId="0" borderId="0" xfId="1" applyFont="1" applyAlignment="1">
      <alignment vertical="center"/>
    </xf>
    <xf numFmtId="0" fontId="48" fillId="0" borderId="0" xfId="1" applyFont="1" applyAlignment="1">
      <alignment vertical="top"/>
    </xf>
    <xf numFmtId="0" fontId="63" fillId="0" borderId="0" xfId="1" applyFont="1" applyAlignment="1">
      <alignment vertical="top"/>
    </xf>
    <xf numFmtId="0" fontId="29" fillId="2" borderId="0" xfId="0" applyFont="1" applyFill="1" applyAlignment="1">
      <alignment vertical="center"/>
    </xf>
    <xf numFmtId="0" fontId="62" fillId="2" borderId="0" xfId="0" applyFont="1" applyFill="1" applyAlignment="1">
      <alignment horizontal="left" vertical="center"/>
    </xf>
    <xf numFmtId="0" fontId="64" fillId="0" borderId="0" xfId="3" applyFont="1" applyAlignment="1">
      <alignment horizontal="left"/>
    </xf>
    <xf numFmtId="0" fontId="55" fillId="0" borderId="3" xfId="1" applyFont="1" applyBorder="1" applyAlignment="1">
      <alignment vertical="center" wrapText="1"/>
    </xf>
    <xf numFmtId="0" fontId="54" fillId="0" borderId="0" xfId="1" applyFont="1" applyAlignment="1">
      <alignment vertical="center" wrapText="1"/>
    </xf>
    <xf numFmtId="0" fontId="54" fillId="0" borderId="26" xfId="1" applyFont="1" applyBorder="1" applyAlignment="1">
      <alignment horizontal="center" vertical="center" wrapText="1"/>
    </xf>
    <xf numFmtId="10" fontId="54" fillId="0" borderId="28" xfId="1" applyNumberFormat="1" applyFont="1" applyBorder="1" applyAlignment="1">
      <alignment horizontal="right" vertical="center" wrapText="1"/>
    </xf>
    <xf numFmtId="0" fontId="56" fillId="0" borderId="4" xfId="1" applyFont="1" applyBorder="1" applyAlignment="1">
      <alignment horizontal="center" vertical="center" wrapText="1"/>
    </xf>
    <xf numFmtId="0" fontId="54" fillId="0" borderId="26" xfId="1" applyFont="1" applyBorder="1" applyAlignment="1">
      <alignment horizontal="left" vertical="center" wrapText="1"/>
    </xf>
    <xf numFmtId="3" fontId="54" fillId="0" borderId="26" xfId="1" applyNumberFormat="1" applyFont="1" applyBorder="1" applyAlignment="1">
      <alignment horizontal="right" vertical="center" wrapText="1"/>
    </xf>
    <xf numFmtId="0" fontId="54" fillId="0" borderId="4" xfId="1" applyFont="1" applyBorder="1" applyAlignment="1">
      <alignment horizontal="center" vertical="center" textRotation="180" wrapText="1"/>
    </xf>
    <xf numFmtId="10" fontId="54" fillId="0" borderId="31" xfId="1" applyNumberFormat="1" applyFont="1" applyBorder="1" applyAlignment="1">
      <alignment horizontal="right" vertical="center" wrapText="1"/>
    </xf>
    <xf numFmtId="0" fontId="3" fillId="0" borderId="2" xfId="1" applyFont="1" applyBorder="1" applyAlignment="1">
      <alignment vertical="center" wrapText="1"/>
    </xf>
    <xf numFmtId="0" fontId="3" fillId="0" borderId="0" xfId="1" applyFont="1" applyAlignment="1"/>
    <xf numFmtId="0" fontId="54" fillId="0" borderId="0" xfId="1" applyFont="1" applyAlignment="1">
      <alignment vertical="top" wrapText="1"/>
    </xf>
    <xf numFmtId="0" fontId="54" fillId="0" borderId="0" xfId="1" applyFont="1" applyAlignment="1">
      <alignment vertical="top"/>
    </xf>
    <xf numFmtId="0" fontId="55" fillId="0" borderId="2" xfId="1" applyFont="1" applyBorder="1" applyAlignment="1">
      <alignment vertical="center"/>
    </xf>
    <xf numFmtId="0" fontId="60" fillId="0" borderId="0" xfId="1" applyFont="1" applyAlignment="1">
      <alignment vertical="top"/>
    </xf>
    <xf numFmtId="0" fontId="58" fillId="0" borderId="0" xfId="1" applyFont="1" applyAlignment="1">
      <alignment vertical="center" wrapText="1"/>
    </xf>
    <xf numFmtId="0" fontId="59" fillId="0" borderId="0" xfId="1" applyFont="1" applyAlignment="1">
      <alignment vertical="center" wrapText="1"/>
    </xf>
    <xf numFmtId="0" fontId="55" fillId="0" borderId="0" xfId="1" applyFont="1" applyBorder="1" applyAlignment="1">
      <alignment vertical="center"/>
    </xf>
    <xf numFmtId="0" fontId="3" fillId="0" borderId="0" xfId="1" applyFont="1" applyBorder="1" applyAlignment="1">
      <alignment vertical="center"/>
    </xf>
    <xf numFmtId="0" fontId="55" fillId="0" borderId="26" xfId="1" quotePrefix="1" applyFont="1" applyBorder="1" applyAlignment="1">
      <alignment horizontal="center" vertical="center" wrapText="1"/>
    </xf>
    <xf numFmtId="0" fontId="55" fillId="0" borderId="26" xfId="1" applyFont="1" applyBorder="1" applyAlignment="1">
      <alignment horizontal="left" vertical="center" wrapText="1"/>
    </xf>
    <xf numFmtId="3" fontId="55" fillId="0" borderId="26" xfId="1" applyNumberFormat="1" applyFont="1" applyBorder="1" applyAlignment="1">
      <alignment horizontal="right" vertical="center" wrapText="1"/>
    </xf>
    <xf numFmtId="0" fontId="67" fillId="0" borderId="0" xfId="1" applyFont="1" applyAlignment="1">
      <alignment vertical="center"/>
    </xf>
    <xf numFmtId="0" fontId="71" fillId="0" borderId="4" xfId="1" applyFont="1" applyBorder="1" applyAlignment="1">
      <alignment horizontal="center" vertical="center" wrapText="1"/>
    </xf>
    <xf numFmtId="0" fontId="68" fillId="0" borderId="4" xfId="1" applyFont="1" applyBorder="1" applyAlignment="1">
      <alignment horizontal="center" vertical="center" wrapText="1"/>
    </xf>
    <xf numFmtId="3" fontId="71" fillId="0" borderId="26" xfId="1" applyNumberFormat="1" applyFont="1" applyBorder="1" applyAlignment="1">
      <alignment horizontal="right" vertical="center" wrapText="1"/>
    </xf>
    <xf numFmtId="3" fontId="68" fillId="0" borderId="26" xfId="1" applyNumberFormat="1" applyFont="1" applyBorder="1" applyAlignment="1">
      <alignment horizontal="right" vertical="center" wrapText="1"/>
    </xf>
    <xf numFmtId="3" fontId="69" fillId="0" borderId="26" xfId="1" applyNumberFormat="1" applyFont="1" applyBorder="1" applyAlignment="1">
      <alignment horizontal="right" vertical="center" wrapText="1"/>
    </xf>
    <xf numFmtId="0" fontId="70" fillId="0" borderId="0" xfId="1" applyFont="1" applyAlignment="1">
      <alignment vertical="center"/>
    </xf>
    <xf numFmtId="3" fontId="68" fillId="0" borderId="27" xfId="1" applyNumberFormat="1" applyFont="1" applyBorder="1" applyAlignment="1">
      <alignment horizontal="right" vertical="center" wrapText="1"/>
    </xf>
    <xf numFmtId="10" fontId="56" fillId="0" borderId="28" xfId="1" applyNumberFormat="1" applyFont="1" applyBorder="1" applyAlignment="1">
      <alignment horizontal="right" vertical="center" wrapText="1"/>
    </xf>
    <xf numFmtId="10" fontId="55" fillId="0" borderId="28" xfId="1" applyNumberFormat="1" applyFont="1" applyBorder="1" applyAlignment="1">
      <alignment horizontal="right" vertical="center" wrapText="1"/>
    </xf>
    <xf numFmtId="0" fontId="2" fillId="0" borderId="4" xfId="1" applyFont="1" applyBorder="1" applyAlignment="1">
      <alignment horizontal="center" vertical="center" wrapText="1"/>
    </xf>
    <xf numFmtId="0" fontId="55" fillId="0" borderId="3" xfId="1" applyFont="1" applyBorder="1" applyAlignment="1">
      <alignment vertical="center"/>
    </xf>
    <xf numFmtId="0" fontId="56" fillId="0" borderId="0" xfId="1" applyFont="1" applyAlignment="1">
      <alignment vertical="center"/>
    </xf>
    <xf numFmtId="0" fontId="68" fillId="0" borderId="0" xfId="1" applyFont="1" applyAlignment="1">
      <alignment vertical="center"/>
    </xf>
    <xf numFmtId="0" fontId="55" fillId="0" borderId="0" xfId="1" applyFont="1" applyAlignment="1">
      <alignment vertical="center"/>
    </xf>
    <xf numFmtId="0" fontId="69" fillId="0" borderId="0" xfId="1" applyFont="1" applyAlignment="1">
      <alignment vertical="center"/>
    </xf>
    <xf numFmtId="0" fontId="3" fillId="0" borderId="3" xfId="1" applyFont="1" applyBorder="1" applyAlignment="1">
      <alignment vertical="center"/>
    </xf>
    <xf numFmtId="0" fontId="70" fillId="0" borderId="3" xfId="1" applyFont="1" applyBorder="1" applyAlignment="1">
      <alignment vertical="center"/>
    </xf>
    <xf numFmtId="0" fontId="54" fillId="0" borderId="34" xfId="1" applyFont="1" applyBorder="1" applyAlignment="1">
      <alignment horizontal="center" vertical="center" wrapText="1"/>
    </xf>
    <xf numFmtId="0" fontId="54" fillId="0" borderId="34" xfId="1" quotePrefix="1" applyFont="1" applyBorder="1" applyAlignment="1">
      <alignment horizontal="center" vertical="center" wrapText="1"/>
    </xf>
    <xf numFmtId="10" fontId="56" fillId="0" borderId="27" xfId="1" applyNumberFormat="1" applyFont="1" applyBorder="1" applyAlignment="1">
      <alignment horizontal="right" vertical="center" wrapText="1"/>
    </xf>
    <xf numFmtId="0" fontId="21" fillId="0" borderId="0" xfId="2" applyFont="1" applyAlignment="1">
      <alignment horizontal="left"/>
    </xf>
    <xf numFmtId="0" fontId="13" fillId="0" borderId="0" xfId="2" applyFont="1" applyAlignment="1">
      <alignment horizontal="center"/>
    </xf>
    <xf numFmtId="0" fontId="28" fillId="0" borderId="0" xfId="3" applyFont="1" applyAlignment="1">
      <alignment horizontal="center"/>
    </xf>
    <xf numFmtId="0" fontId="15" fillId="0" borderId="0" xfId="2" applyFont="1" applyBorder="1" applyAlignment="1">
      <alignment horizontal="right"/>
    </xf>
    <xf numFmtId="0" fontId="9" fillId="0" borderId="5" xfId="2" applyFont="1" applyBorder="1" applyAlignment="1">
      <alignment horizontal="center" vertical="center" wrapText="1"/>
    </xf>
    <xf numFmtId="0" fontId="9" fillId="0" borderId="5" xfId="2" applyFont="1" applyBorder="1" applyAlignment="1">
      <alignment horizontal="center" vertical="center"/>
    </xf>
    <xf numFmtId="0" fontId="15" fillId="0" borderId="0" xfId="2" applyFont="1" applyAlignment="1">
      <alignment horizontal="left"/>
    </xf>
    <xf numFmtId="0" fontId="13" fillId="0" borderId="0" xfId="3" applyFont="1" applyAlignment="1">
      <alignment horizontal="center" vertical="center"/>
    </xf>
    <xf numFmtId="0" fontId="9" fillId="0" borderId="5" xfId="3" applyFont="1" applyBorder="1" applyAlignment="1">
      <alignment horizontal="center" vertical="center" wrapText="1"/>
    </xf>
    <xf numFmtId="0" fontId="9" fillId="0" borderId="5" xfId="3" quotePrefix="1" applyFont="1" applyBorder="1" applyAlignment="1">
      <alignment horizontal="center" vertical="center"/>
    </xf>
    <xf numFmtId="0" fontId="9" fillId="0" borderId="5" xfId="3" applyFont="1" applyBorder="1" applyAlignment="1">
      <alignment horizontal="center" vertical="center"/>
    </xf>
    <xf numFmtId="0" fontId="15" fillId="0" borderId="0" xfId="3" applyFont="1" applyAlignment="1">
      <alignment horizontal="center" vertical="center"/>
    </xf>
    <xf numFmtId="0" fontId="15" fillId="0" borderId="33" xfId="3" applyFont="1" applyBorder="1" applyAlignment="1">
      <alignment horizontal="center" vertical="center"/>
    </xf>
    <xf numFmtId="0" fontId="30" fillId="0" borderId="0" xfId="0" applyFont="1" applyAlignment="1">
      <alignment horizontal="left" vertical="center" wrapText="1"/>
    </xf>
    <xf numFmtId="0" fontId="37" fillId="2" borderId="0" xfId="0" applyFont="1" applyFill="1" applyAlignment="1">
      <alignment horizontal="center" vertical="center" wrapText="1"/>
    </xf>
    <xf numFmtId="0" fontId="39" fillId="2" borderId="0" xfId="0" applyFont="1" applyFill="1" applyAlignment="1">
      <alignment horizontal="center" vertical="center" wrapText="1"/>
    </xf>
    <xf numFmtId="0" fontId="29" fillId="2" borderId="0" xfId="0" applyFont="1" applyFill="1" applyAlignment="1">
      <alignment horizontal="right" vertical="center" wrapText="1"/>
    </xf>
    <xf numFmtId="0" fontId="41" fillId="0" borderId="0" xfId="0" applyFont="1" applyAlignment="1">
      <alignment horizontal="left" vertical="center" wrapText="1"/>
    </xf>
    <xf numFmtId="0" fontId="35" fillId="0" borderId="0" xfId="1" applyFont="1" applyAlignment="1">
      <alignment horizontal="left" vertical="top" wrapText="1"/>
    </xf>
    <xf numFmtId="0" fontId="43" fillId="0" borderId="0" xfId="1" applyFont="1" applyAlignment="1">
      <alignment horizontal="center" vertical="top"/>
    </xf>
    <xf numFmtId="0" fontId="44" fillId="0" borderId="0" xfId="1" applyFont="1" applyAlignment="1">
      <alignment horizontal="center" vertical="center"/>
    </xf>
    <xf numFmtId="0" fontId="29" fillId="2" borderId="5" xfId="1" applyFont="1" applyFill="1" applyBorder="1" applyAlignment="1">
      <alignment horizontal="center" vertical="center" wrapText="1"/>
    </xf>
    <xf numFmtId="0" fontId="29" fillId="2" borderId="24" xfId="1" applyFont="1" applyFill="1" applyBorder="1" applyAlignment="1">
      <alignment horizontal="center" vertical="center" wrapText="1"/>
    </xf>
    <xf numFmtId="0" fontId="29" fillId="2" borderId="25" xfId="1" applyFont="1" applyFill="1" applyBorder="1" applyAlignment="1">
      <alignment horizontal="center" vertical="center" wrapText="1"/>
    </xf>
    <xf numFmtId="0" fontId="29" fillId="2" borderId="15" xfId="1" applyFont="1" applyFill="1" applyBorder="1" applyAlignment="1">
      <alignment horizontal="center" vertical="center" wrapText="1"/>
    </xf>
    <xf numFmtId="0" fontId="29" fillId="2" borderId="23" xfId="1" applyFont="1" applyFill="1" applyBorder="1" applyAlignment="1">
      <alignment horizontal="center" vertical="center" wrapText="1"/>
    </xf>
    <xf numFmtId="0" fontId="35" fillId="2" borderId="0" xfId="1" applyFont="1" applyFill="1" applyAlignment="1">
      <alignment horizontal="left" vertical="top"/>
    </xf>
    <xf numFmtId="0" fontId="37" fillId="0" borderId="0" xfId="1" applyFont="1" applyAlignment="1">
      <alignment horizontal="center" vertical="top" wrapText="1"/>
    </xf>
    <xf numFmtId="0" fontId="49" fillId="2" borderId="0" xfId="1" applyFont="1" applyFill="1" applyAlignment="1">
      <alignment horizontal="center" vertical="center"/>
    </xf>
    <xf numFmtId="0" fontId="48" fillId="0" borderId="0" xfId="1" applyFont="1" applyAlignment="1">
      <alignment horizontal="center" vertical="center"/>
    </xf>
    <xf numFmtId="0" fontId="1" fillId="2" borderId="4" xfId="1" applyFont="1" applyFill="1" applyBorder="1" applyAlignment="1">
      <alignment horizontal="center" vertical="center" wrapText="1"/>
    </xf>
    <xf numFmtId="0" fontId="5" fillId="0" borderId="3" xfId="1" applyFont="1" applyBorder="1" applyAlignment="1">
      <alignment horizontal="center" vertical="center"/>
    </xf>
    <xf numFmtId="0" fontId="3" fillId="0" borderId="0" xfId="1" applyAlignment="1">
      <alignment horizontal="justify" vertical="center"/>
    </xf>
    <xf numFmtId="0" fontId="5" fillId="0" borderId="0" xfId="1" applyFont="1" applyAlignment="1">
      <alignment horizontal="justify" vertical="center"/>
    </xf>
    <xf numFmtId="0" fontId="4" fillId="0" borderId="0" xfId="1" applyFont="1" applyAlignment="1">
      <alignment horizontal="center" vertical="center"/>
    </xf>
    <xf numFmtId="0" fontId="1" fillId="0" borderId="0" xfId="1" applyFont="1" applyAlignment="1">
      <alignment horizontal="center" vertical="center"/>
    </xf>
    <xf numFmtId="0" fontId="58" fillId="0" borderId="0" xfId="1" applyFont="1" applyAlignment="1">
      <alignment horizontal="center" vertical="center"/>
    </xf>
    <xf numFmtId="0" fontId="59" fillId="0" borderId="0" xfId="1" applyFont="1" applyAlignment="1">
      <alignment horizontal="center" vertical="center"/>
    </xf>
    <xf numFmtId="0" fontId="54" fillId="0" borderId="4" xfId="1" applyFont="1" applyBorder="1" applyAlignment="1">
      <alignment horizontal="center" vertical="center" wrapText="1"/>
    </xf>
    <xf numFmtId="0" fontId="55" fillId="0" borderId="0" xfId="1" applyFont="1" applyBorder="1" applyAlignment="1">
      <alignment horizontal="center" vertical="center" wrapText="1"/>
    </xf>
    <xf numFmtId="0" fontId="55" fillId="0" borderId="3" xfId="1" applyFont="1" applyBorder="1" applyAlignment="1">
      <alignment horizontal="center" vertical="center" wrapText="1"/>
    </xf>
    <xf numFmtId="0" fontId="3" fillId="0" borderId="0" xfId="1" applyFont="1" applyBorder="1" applyAlignment="1">
      <alignment horizontal="center" vertical="center"/>
    </xf>
    <xf numFmtId="0" fontId="55" fillId="0" borderId="3" xfId="1" applyFont="1" applyBorder="1" applyAlignment="1">
      <alignment horizontal="right" vertical="top" wrapText="1"/>
    </xf>
    <xf numFmtId="0" fontId="4" fillId="0" borderId="0" xfId="1" applyFont="1" applyAlignment="1">
      <alignment horizontal="center" vertical="top"/>
    </xf>
    <xf numFmtId="0" fontId="66" fillId="0" borderId="0" xfId="1" applyFont="1" applyAlignment="1">
      <alignment horizontal="center" vertical="top"/>
    </xf>
    <xf numFmtId="0" fontId="1" fillId="0" borderId="4" xfId="1" applyFont="1" applyBorder="1" applyAlignment="1">
      <alignment horizontal="center" vertical="center" wrapText="1"/>
    </xf>
    <xf numFmtId="0" fontId="3" fillId="0" borderId="0" xfId="1" applyFont="1" applyAlignment="1">
      <alignment horizontal="left" indent="1"/>
    </xf>
    <xf numFmtId="0" fontId="54" fillId="0" borderId="35" xfId="1" applyFont="1" applyBorder="1" applyAlignment="1">
      <alignment horizontal="center" vertical="center" wrapText="1"/>
    </xf>
    <xf numFmtId="0" fontId="54" fillId="0" borderId="36" xfId="1" applyFont="1" applyBorder="1" applyAlignment="1">
      <alignment horizontal="center" vertical="center" wrapText="1"/>
    </xf>
    <xf numFmtId="0" fontId="54" fillId="0" borderId="37" xfId="1" applyFont="1" applyBorder="1" applyAlignment="1">
      <alignment horizontal="center" vertical="center" wrapText="1"/>
    </xf>
    <xf numFmtId="0" fontId="71" fillId="0" borderId="4" xfId="1" applyFont="1" applyBorder="1" applyAlignment="1">
      <alignment horizontal="center" vertical="center" wrapText="1"/>
    </xf>
    <xf numFmtId="0" fontId="3" fillId="0" borderId="0" xfId="1" applyFont="1" applyAlignment="1">
      <alignment horizontal="left" vertical="center"/>
    </xf>
    <xf numFmtId="0" fontId="54" fillId="0" borderId="0" xfId="1" applyFont="1" applyAlignment="1">
      <alignment horizontal="center" vertical="center"/>
    </xf>
  </cellXfs>
  <cellStyles count="7">
    <cellStyle name="Comma 10 2" xfId="5"/>
    <cellStyle name="Comma 2" xfId="4"/>
    <cellStyle name="Normal" xfId="0" builtinId="0"/>
    <cellStyle name="Normal 2" xfId="1"/>
    <cellStyle name="Normal 2 2" xfId="3"/>
    <cellStyle name="Normal 3" xfId="2"/>
    <cellStyle name="Normal 8"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BTC15\SHARE_QLNSDPNSNN$\Hang\Bieu%20mau%20thu%202003%20vong%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hu NSNN(V2)"/>
      <sheetName val="Dt 2001"/>
      <sheetName val="tinh CD DT"/>
      <sheetName val="Thu NSNN (V1)"/>
      <sheetName val="mau"/>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3"/>
  <sheetViews>
    <sheetView tabSelected="1" view="pageBreakPreview" topLeftCell="A28" zoomScaleNormal="100" zoomScaleSheetLayoutView="100" workbookViewId="0">
      <selection activeCell="D17" sqref="D17"/>
    </sheetView>
  </sheetViews>
  <sheetFormatPr defaultRowHeight="15.75"/>
  <cols>
    <col min="1" max="1" width="5.85546875" style="5" customWidth="1"/>
    <col min="2" max="2" width="45" style="5" customWidth="1"/>
    <col min="3" max="3" width="20.7109375" style="5" customWidth="1"/>
    <col min="4" max="4" width="21.85546875" style="5" customWidth="1"/>
    <col min="5" max="5" width="19.7109375" style="5" customWidth="1"/>
    <col min="6" max="6" width="13" style="5" customWidth="1"/>
    <col min="7" max="256" width="9.140625" style="5"/>
    <col min="257" max="257" width="5.85546875" style="5" customWidth="1"/>
    <col min="258" max="258" width="45" style="5" customWidth="1"/>
    <col min="259" max="259" width="20.7109375" style="5" customWidth="1"/>
    <col min="260" max="260" width="21.85546875" style="5" customWidth="1"/>
    <col min="261" max="261" width="19" style="5" customWidth="1"/>
    <col min="262" max="262" width="13" style="5" customWidth="1"/>
    <col min="263" max="512" width="9.140625" style="5"/>
    <col min="513" max="513" width="5.85546875" style="5" customWidth="1"/>
    <col min="514" max="514" width="45" style="5" customWidth="1"/>
    <col min="515" max="515" width="20.7109375" style="5" customWidth="1"/>
    <col min="516" max="516" width="21.85546875" style="5" customWidth="1"/>
    <col min="517" max="517" width="19" style="5" customWidth="1"/>
    <col min="518" max="518" width="13" style="5" customWidth="1"/>
    <col min="519" max="768" width="9.140625" style="5"/>
    <col min="769" max="769" width="5.85546875" style="5" customWidth="1"/>
    <col min="770" max="770" width="45" style="5" customWidth="1"/>
    <col min="771" max="771" width="20.7109375" style="5" customWidth="1"/>
    <col min="772" max="772" width="21.85546875" style="5" customWidth="1"/>
    <col min="773" max="773" width="19" style="5" customWidth="1"/>
    <col min="774" max="774" width="13" style="5" customWidth="1"/>
    <col min="775" max="1024" width="9.140625" style="5"/>
    <col min="1025" max="1025" width="5.85546875" style="5" customWidth="1"/>
    <col min="1026" max="1026" width="45" style="5" customWidth="1"/>
    <col min="1027" max="1027" width="20.7109375" style="5" customWidth="1"/>
    <col min="1028" max="1028" width="21.85546875" style="5" customWidth="1"/>
    <col min="1029" max="1029" width="19" style="5" customWidth="1"/>
    <col min="1030" max="1030" width="13" style="5" customWidth="1"/>
    <col min="1031" max="1280" width="9.140625" style="5"/>
    <col min="1281" max="1281" width="5.85546875" style="5" customWidth="1"/>
    <col min="1282" max="1282" width="45" style="5" customWidth="1"/>
    <col min="1283" max="1283" width="20.7109375" style="5" customWidth="1"/>
    <col min="1284" max="1284" width="21.85546875" style="5" customWidth="1"/>
    <col min="1285" max="1285" width="19" style="5" customWidth="1"/>
    <col min="1286" max="1286" width="13" style="5" customWidth="1"/>
    <col min="1287" max="1536" width="9.140625" style="5"/>
    <col min="1537" max="1537" width="5.85546875" style="5" customWidth="1"/>
    <col min="1538" max="1538" width="45" style="5" customWidth="1"/>
    <col min="1539" max="1539" width="20.7109375" style="5" customWidth="1"/>
    <col min="1540" max="1540" width="21.85546875" style="5" customWidth="1"/>
    <col min="1541" max="1541" width="19" style="5" customWidth="1"/>
    <col min="1542" max="1542" width="13" style="5" customWidth="1"/>
    <col min="1543" max="1792" width="9.140625" style="5"/>
    <col min="1793" max="1793" width="5.85546875" style="5" customWidth="1"/>
    <col min="1794" max="1794" width="45" style="5" customWidth="1"/>
    <col min="1795" max="1795" width="20.7109375" style="5" customWidth="1"/>
    <col min="1796" max="1796" width="21.85546875" style="5" customWidth="1"/>
    <col min="1797" max="1797" width="19" style="5" customWidth="1"/>
    <col min="1798" max="1798" width="13" style="5" customWidth="1"/>
    <col min="1799" max="2048" width="9.140625" style="5"/>
    <col min="2049" max="2049" width="5.85546875" style="5" customWidth="1"/>
    <col min="2050" max="2050" width="45" style="5" customWidth="1"/>
    <col min="2051" max="2051" width="20.7109375" style="5" customWidth="1"/>
    <col min="2052" max="2052" width="21.85546875" style="5" customWidth="1"/>
    <col min="2053" max="2053" width="19" style="5" customWidth="1"/>
    <col min="2054" max="2054" width="13" style="5" customWidth="1"/>
    <col min="2055" max="2304" width="9.140625" style="5"/>
    <col min="2305" max="2305" width="5.85546875" style="5" customWidth="1"/>
    <col min="2306" max="2306" width="45" style="5" customWidth="1"/>
    <col min="2307" max="2307" width="20.7109375" style="5" customWidth="1"/>
    <col min="2308" max="2308" width="21.85546875" style="5" customWidth="1"/>
    <col min="2309" max="2309" width="19" style="5" customWidth="1"/>
    <col min="2310" max="2310" width="13" style="5" customWidth="1"/>
    <col min="2311" max="2560" width="9.140625" style="5"/>
    <col min="2561" max="2561" width="5.85546875" style="5" customWidth="1"/>
    <col min="2562" max="2562" width="45" style="5" customWidth="1"/>
    <col min="2563" max="2563" width="20.7109375" style="5" customWidth="1"/>
    <col min="2564" max="2564" width="21.85546875" style="5" customWidth="1"/>
    <col min="2565" max="2565" width="19" style="5" customWidth="1"/>
    <col min="2566" max="2566" width="13" style="5" customWidth="1"/>
    <col min="2567" max="2816" width="9.140625" style="5"/>
    <col min="2817" max="2817" width="5.85546875" style="5" customWidth="1"/>
    <col min="2818" max="2818" width="45" style="5" customWidth="1"/>
    <col min="2819" max="2819" width="20.7109375" style="5" customWidth="1"/>
    <col min="2820" max="2820" width="21.85546875" style="5" customWidth="1"/>
    <col min="2821" max="2821" width="19" style="5" customWidth="1"/>
    <col min="2822" max="2822" width="13" style="5" customWidth="1"/>
    <col min="2823" max="3072" width="9.140625" style="5"/>
    <col min="3073" max="3073" width="5.85546875" style="5" customWidth="1"/>
    <col min="3074" max="3074" width="45" style="5" customWidth="1"/>
    <col min="3075" max="3075" width="20.7109375" style="5" customWidth="1"/>
    <col min="3076" max="3076" width="21.85546875" style="5" customWidth="1"/>
    <col min="3077" max="3077" width="19" style="5" customWidth="1"/>
    <col min="3078" max="3078" width="13" style="5" customWidth="1"/>
    <col min="3079" max="3328" width="9.140625" style="5"/>
    <col min="3329" max="3329" width="5.85546875" style="5" customWidth="1"/>
    <col min="3330" max="3330" width="45" style="5" customWidth="1"/>
    <col min="3331" max="3331" width="20.7109375" style="5" customWidth="1"/>
    <col min="3332" max="3332" width="21.85546875" style="5" customWidth="1"/>
    <col min="3333" max="3333" width="19" style="5" customWidth="1"/>
    <col min="3334" max="3334" width="13" style="5" customWidth="1"/>
    <col min="3335" max="3584" width="9.140625" style="5"/>
    <col min="3585" max="3585" width="5.85546875" style="5" customWidth="1"/>
    <col min="3586" max="3586" width="45" style="5" customWidth="1"/>
    <col min="3587" max="3587" width="20.7109375" style="5" customWidth="1"/>
    <col min="3588" max="3588" width="21.85546875" style="5" customWidth="1"/>
    <col min="3589" max="3589" width="19" style="5" customWidth="1"/>
    <col min="3590" max="3590" width="13" style="5" customWidth="1"/>
    <col min="3591" max="3840" width="9.140625" style="5"/>
    <col min="3841" max="3841" width="5.85546875" style="5" customWidth="1"/>
    <col min="3842" max="3842" width="45" style="5" customWidth="1"/>
    <col min="3843" max="3843" width="20.7109375" style="5" customWidth="1"/>
    <col min="3844" max="3844" width="21.85546875" style="5" customWidth="1"/>
    <col min="3845" max="3845" width="19" style="5" customWidth="1"/>
    <col min="3846" max="3846" width="13" style="5" customWidth="1"/>
    <col min="3847" max="4096" width="9.140625" style="5"/>
    <col min="4097" max="4097" width="5.85546875" style="5" customWidth="1"/>
    <col min="4098" max="4098" width="45" style="5" customWidth="1"/>
    <col min="4099" max="4099" width="20.7109375" style="5" customWidth="1"/>
    <col min="4100" max="4100" width="21.85546875" style="5" customWidth="1"/>
    <col min="4101" max="4101" width="19" style="5" customWidth="1"/>
    <col min="4102" max="4102" width="13" style="5" customWidth="1"/>
    <col min="4103" max="4352" width="9.140625" style="5"/>
    <col min="4353" max="4353" width="5.85546875" style="5" customWidth="1"/>
    <col min="4354" max="4354" width="45" style="5" customWidth="1"/>
    <col min="4355" max="4355" width="20.7109375" style="5" customWidth="1"/>
    <col min="4356" max="4356" width="21.85546875" style="5" customWidth="1"/>
    <col min="4357" max="4357" width="19" style="5" customWidth="1"/>
    <col min="4358" max="4358" width="13" style="5" customWidth="1"/>
    <col min="4359" max="4608" width="9.140625" style="5"/>
    <col min="4609" max="4609" width="5.85546875" style="5" customWidth="1"/>
    <col min="4610" max="4610" width="45" style="5" customWidth="1"/>
    <col min="4611" max="4611" width="20.7109375" style="5" customWidth="1"/>
    <col min="4612" max="4612" width="21.85546875" style="5" customWidth="1"/>
    <col min="4613" max="4613" width="19" style="5" customWidth="1"/>
    <col min="4614" max="4614" width="13" style="5" customWidth="1"/>
    <col min="4615" max="4864" width="9.140625" style="5"/>
    <col min="4865" max="4865" width="5.85546875" style="5" customWidth="1"/>
    <col min="4866" max="4866" width="45" style="5" customWidth="1"/>
    <col min="4867" max="4867" width="20.7109375" style="5" customWidth="1"/>
    <col min="4868" max="4868" width="21.85546875" style="5" customWidth="1"/>
    <col min="4869" max="4869" width="19" style="5" customWidth="1"/>
    <col min="4870" max="4870" width="13" style="5" customWidth="1"/>
    <col min="4871" max="5120" width="9.140625" style="5"/>
    <col min="5121" max="5121" width="5.85546875" style="5" customWidth="1"/>
    <col min="5122" max="5122" width="45" style="5" customWidth="1"/>
    <col min="5123" max="5123" width="20.7109375" style="5" customWidth="1"/>
    <col min="5124" max="5124" width="21.85546875" style="5" customWidth="1"/>
    <col min="5125" max="5125" width="19" style="5" customWidth="1"/>
    <col min="5126" max="5126" width="13" style="5" customWidth="1"/>
    <col min="5127" max="5376" width="9.140625" style="5"/>
    <col min="5377" max="5377" width="5.85546875" style="5" customWidth="1"/>
    <col min="5378" max="5378" width="45" style="5" customWidth="1"/>
    <col min="5379" max="5379" width="20.7109375" style="5" customWidth="1"/>
    <col min="5380" max="5380" width="21.85546875" style="5" customWidth="1"/>
    <col min="5381" max="5381" width="19" style="5" customWidth="1"/>
    <col min="5382" max="5382" width="13" style="5" customWidth="1"/>
    <col min="5383" max="5632" width="9.140625" style="5"/>
    <col min="5633" max="5633" width="5.85546875" style="5" customWidth="1"/>
    <col min="5634" max="5634" width="45" style="5" customWidth="1"/>
    <col min="5635" max="5635" width="20.7109375" style="5" customWidth="1"/>
    <col min="5636" max="5636" width="21.85546875" style="5" customWidth="1"/>
    <col min="5637" max="5637" width="19" style="5" customWidth="1"/>
    <col min="5638" max="5638" width="13" style="5" customWidth="1"/>
    <col min="5639" max="5888" width="9.140625" style="5"/>
    <col min="5889" max="5889" width="5.85546875" style="5" customWidth="1"/>
    <col min="5890" max="5890" width="45" style="5" customWidth="1"/>
    <col min="5891" max="5891" width="20.7109375" style="5" customWidth="1"/>
    <col min="5892" max="5892" width="21.85546875" style="5" customWidth="1"/>
    <col min="5893" max="5893" width="19" style="5" customWidth="1"/>
    <col min="5894" max="5894" width="13" style="5" customWidth="1"/>
    <col min="5895" max="6144" width="9.140625" style="5"/>
    <col min="6145" max="6145" width="5.85546875" style="5" customWidth="1"/>
    <col min="6146" max="6146" width="45" style="5" customWidth="1"/>
    <col min="6147" max="6147" width="20.7109375" style="5" customWidth="1"/>
    <col min="6148" max="6148" width="21.85546875" style="5" customWidth="1"/>
    <col min="6149" max="6149" width="19" style="5" customWidth="1"/>
    <col min="6150" max="6150" width="13" style="5" customWidth="1"/>
    <col min="6151" max="6400" width="9.140625" style="5"/>
    <col min="6401" max="6401" width="5.85546875" style="5" customWidth="1"/>
    <col min="6402" max="6402" width="45" style="5" customWidth="1"/>
    <col min="6403" max="6403" width="20.7109375" style="5" customWidth="1"/>
    <col min="6404" max="6404" width="21.85546875" style="5" customWidth="1"/>
    <col min="6405" max="6405" width="19" style="5" customWidth="1"/>
    <col min="6406" max="6406" width="13" style="5" customWidth="1"/>
    <col min="6407" max="6656" width="9.140625" style="5"/>
    <col min="6657" max="6657" width="5.85546875" style="5" customWidth="1"/>
    <col min="6658" max="6658" width="45" style="5" customWidth="1"/>
    <col min="6659" max="6659" width="20.7109375" style="5" customWidth="1"/>
    <col min="6660" max="6660" width="21.85546875" style="5" customWidth="1"/>
    <col min="6661" max="6661" width="19" style="5" customWidth="1"/>
    <col min="6662" max="6662" width="13" style="5" customWidth="1"/>
    <col min="6663" max="6912" width="9.140625" style="5"/>
    <col min="6913" max="6913" width="5.85546875" style="5" customWidth="1"/>
    <col min="6914" max="6914" width="45" style="5" customWidth="1"/>
    <col min="6915" max="6915" width="20.7109375" style="5" customWidth="1"/>
    <col min="6916" max="6916" width="21.85546875" style="5" customWidth="1"/>
    <col min="6917" max="6917" width="19" style="5" customWidth="1"/>
    <col min="6918" max="6918" width="13" style="5" customWidth="1"/>
    <col min="6919" max="7168" width="9.140625" style="5"/>
    <col min="7169" max="7169" width="5.85546875" style="5" customWidth="1"/>
    <col min="7170" max="7170" width="45" style="5" customWidth="1"/>
    <col min="7171" max="7171" width="20.7109375" style="5" customWidth="1"/>
    <col min="7172" max="7172" width="21.85546875" style="5" customWidth="1"/>
    <col min="7173" max="7173" width="19" style="5" customWidth="1"/>
    <col min="7174" max="7174" width="13" style="5" customWidth="1"/>
    <col min="7175" max="7424" width="9.140625" style="5"/>
    <col min="7425" max="7425" width="5.85546875" style="5" customWidth="1"/>
    <col min="7426" max="7426" width="45" style="5" customWidth="1"/>
    <col min="7427" max="7427" width="20.7109375" style="5" customWidth="1"/>
    <col min="7428" max="7428" width="21.85546875" style="5" customWidth="1"/>
    <col min="7429" max="7429" width="19" style="5" customWidth="1"/>
    <col min="7430" max="7430" width="13" style="5" customWidth="1"/>
    <col min="7431" max="7680" width="9.140625" style="5"/>
    <col min="7681" max="7681" width="5.85546875" style="5" customWidth="1"/>
    <col min="7682" max="7682" width="45" style="5" customWidth="1"/>
    <col min="7683" max="7683" width="20.7109375" style="5" customWidth="1"/>
    <col min="7684" max="7684" width="21.85546875" style="5" customWidth="1"/>
    <col min="7685" max="7685" width="19" style="5" customWidth="1"/>
    <col min="7686" max="7686" width="13" style="5" customWidth="1"/>
    <col min="7687" max="7936" width="9.140625" style="5"/>
    <col min="7937" max="7937" width="5.85546875" style="5" customWidth="1"/>
    <col min="7938" max="7938" width="45" style="5" customWidth="1"/>
    <col min="7939" max="7939" width="20.7109375" style="5" customWidth="1"/>
    <col min="7940" max="7940" width="21.85546875" style="5" customWidth="1"/>
    <col min="7941" max="7941" width="19" style="5" customWidth="1"/>
    <col min="7942" max="7942" width="13" style="5" customWidth="1"/>
    <col min="7943" max="8192" width="9.140625" style="5"/>
    <col min="8193" max="8193" width="5.85546875" style="5" customWidth="1"/>
    <col min="8194" max="8194" width="45" style="5" customWidth="1"/>
    <col min="8195" max="8195" width="20.7109375" style="5" customWidth="1"/>
    <col min="8196" max="8196" width="21.85546875" style="5" customWidth="1"/>
    <col min="8197" max="8197" width="19" style="5" customWidth="1"/>
    <col min="8198" max="8198" width="13" style="5" customWidth="1"/>
    <col min="8199" max="8448" width="9.140625" style="5"/>
    <col min="8449" max="8449" width="5.85546875" style="5" customWidth="1"/>
    <col min="8450" max="8450" width="45" style="5" customWidth="1"/>
    <col min="8451" max="8451" width="20.7109375" style="5" customWidth="1"/>
    <col min="8452" max="8452" width="21.85546875" style="5" customWidth="1"/>
    <col min="8453" max="8453" width="19" style="5" customWidth="1"/>
    <col min="8454" max="8454" width="13" style="5" customWidth="1"/>
    <col min="8455" max="8704" width="9.140625" style="5"/>
    <col min="8705" max="8705" width="5.85546875" style="5" customWidth="1"/>
    <col min="8706" max="8706" width="45" style="5" customWidth="1"/>
    <col min="8707" max="8707" width="20.7109375" style="5" customWidth="1"/>
    <col min="8708" max="8708" width="21.85546875" style="5" customWidth="1"/>
    <col min="8709" max="8709" width="19" style="5" customWidth="1"/>
    <col min="8710" max="8710" width="13" style="5" customWidth="1"/>
    <col min="8711" max="8960" width="9.140625" style="5"/>
    <col min="8961" max="8961" width="5.85546875" style="5" customWidth="1"/>
    <col min="8962" max="8962" width="45" style="5" customWidth="1"/>
    <col min="8963" max="8963" width="20.7109375" style="5" customWidth="1"/>
    <col min="8964" max="8964" width="21.85546875" style="5" customWidth="1"/>
    <col min="8965" max="8965" width="19" style="5" customWidth="1"/>
    <col min="8966" max="8966" width="13" style="5" customWidth="1"/>
    <col min="8967" max="9216" width="9.140625" style="5"/>
    <col min="9217" max="9217" width="5.85546875" style="5" customWidth="1"/>
    <col min="9218" max="9218" width="45" style="5" customWidth="1"/>
    <col min="9219" max="9219" width="20.7109375" style="5" customWidth="1"/>
    <col min="9220" max="9220" width="21.85546875" style="5" customWidth="1"/>
    <col min="9221" max="9221" width="19" style="5" customWidth="1"/>
    <col min="9222" max="9222" width="13" style="5" customWidth="1"/>
    <col min="9223" max="9472" width="9.140625" style="5"/>
    <col min="9473" max="9473" width="5.85546875" style="5" customWidth="1"/>
    <col min="9474" max="9474" width="45" style="5" customWidth="1"/>
    <col min="9475" max="9475" width="20.7109375" style="5" customWidth="1"/>
    <col min="9476" max="9476" width="21.85546875" style="5" customWidth="1"/>
    <col min="9477" max="9477" width="19" style="5" customWidth="1"/>
    <col min="9478" max="9478" width="13" style="5" customWidth="1"/>
    <col min="9479" max="9728" width="9.140625" style="5"/>
    <col min="9729" max="9729" width="5.85546875" style="5" customWidth="1"/>
    <col min="9730" max="9730" width="45" style="5" customWidth="1"/>
    <col min="9731" max="9731" width="20.7109375" style="5" customWidth="1"/>
    <col min="9732" max="9732" width="21.85546875" style="5" customWidth="1"/>
    <col min="9733" max="9733" width="19" style="5" customWidth="1"/>
    <col min="9734" max="9734" width="13" style="5" customWidth="1"/>
    <col min="9735" max="9984" width="9.140625" style="5"/>
    <col min="9985" max="9985" width="5.85546875" style="5" customWidth="1"/>
    <col min="9986" max="9986" width="45" style="5" customWidth="1"/>
    <col min="9987" max="9987" width="20.7109375" style="5" customWidth="1"/>
    <col min="9988" max="9988" width="21.85546875" style="5" customWidth="1"/>
    <col min="9989" max="9989" width="19" style="5" customWidth="1"/>
    <col min="9990" max="9990" width="13" style="5" customWidth="1"/>
    <col min="9991" max="10240" width="9.140625" style="5"/>
    <col min="10241" max="10241" width="5.85546875" style="5" customWidth="1"/>
    <col min="10242" max="10242" width="45" style="5" customWidth="1"/>
    <col min="10243" max="10243" width="20.7109375" style="5" customWidth="1"/>
    <col min="10244" max="10244" width="21.85546875" style="5" customWidth="1"/>
    <col min="10245" max="10245" width="19" style="5" customWidth="1"/>
    <col min="10246" max="10246" width="13" style="5" customWidth="1"/>
    <col min="10247" max="10496" width="9.140625" style="5"/>
    <col min="10497" max="10497" width="5.85546875" style="5" customWidth="1"/>
    <col min="10498" max="10498" width="45" style="5" customWidth="1"/>
    <col min="10499" max="10499" width="20.7109375" style="5" customWidth="1"/>
    <col min="10500" max="10500" width="21.85546875" style="5" customWidth="1"/>
    <col min="10501" max="10501" width="19" style="5" customWidth="1"/>
    <col min="10502" max="10502" width="13" style="5" customWidth="1"/>
    <col min="10503" max="10752" width="9.140625" style="5"/>
    <col min="10753" max="10753" width="5.85546875" style="5" customWidth="1"/>
    <col min="10754" max="10754" width="45" style="5" customWidth="1"/>
    <col min="10755" max="10755" width="20.7109375" style="5" customWidth="1"/>
    <col min="10756" max="10756" width="21.85546875" style="5" customWidth="1"/>
    <col min="10757" max="10757" width="19" style="5" customWidth="1"/>
    <col min="10758" max="10758" width="13" style="5" customWidth="1"/>
    <col min="10759" max="11008" width="9.140625" style="5"/>
    <col min="11009" max="11009" width="5.85546875" style="5" customWidth="1"/>
    <col min="11010" max="11010" width="45" style="5" customWidth="1"/>
    <col min="11011" max="11011" width="20.7109375" style="5" customWidth="1"/>
    <col min="11012" max="11012" width="21.85546875" style="5" customWidth="1"/>
    <col min="11013" max="11013" width="19" style="5" customWidth="1"/>
    <col min="11014" max="11014" width="13" style="5" customWidth="1"/>
    <col min="11015" max="11264" width="9.140625" style="5"/>
    <col min="11265" max="11265" width="5.85546875" style="5" customWidth="1"/>
    <col min="11266" max="11266" width="45" style="5" customWidth="1"/>
    <col min="11267" max="11267" width="20.7109375" style="5" customWidth="1"/>
    <col min="11268" max="11268" width="21.85546875" style="5" customWidth="1"/>
    <col min="11269" max="11269" width="19" style="5" customWidth="1"/>
    <col min="11270" max="11270" width="13" style="5" customWidth="1"/>
    <col min="11271" max="11520" width="9.140625" style="5"/>
    <col min="11521" max="11521" width="5.85546875" style="5" customWidth="1"/>
    <col min="11522" max="11522" width="45" style="5" customWidth="1"/>
    <col min="11523" max="11523" width="20.7109375" style="5" customWidth="1"/>
    <col min="11524" max="11524" width="21.85546875" style="5" customWidth="1"/>
    <col min="11525" max="11525" width="19" style="5" customWidth="1"/>
    <col min="11526" max="11526" width="13" style="5" customWidth="1"/>
    <col min="11527" max="11776" width="9.140625" style="5"/>
    <col min="11777" max="11777" width="5.85546875" style="5" customWidth="1"/>
    <col min="11778" max="11778" width="45" style="5" customWidth="1"/>
    <col min="11779" max="11779" width="20.7109375" style="5" customWidth="1"/>
    <col min="11780" max="11780" width="21.85546875" style="5" customWidth="1"/>
    <col min="11781" max="11781" width="19" style="5" customWidth="1"/>
    <col min="11782" max="11782" width="13" style="5" customWidth="1"/>
    <col min="11783" max="12032" width="9.140625" style="5"/>
    <col min="12033" max="12033" width="5.85546875" style="5" customWidth="1"/>
    <col min="12034" max="12034" width="45" style="5" customWidth="1"/>
    <col min="12035" max="12035" width="20.7109375" style="5" customWidth="1"/>
    <col min="12036" max="12036" width="21.85546875" style="5" customWidth="1"/>
    <col min="12037" max="12037" width="19" style="5" customWidth="1"/>
    <col min="12038" max="12038" width="13" style="5" customWidth="1"/>
    <col min="12039" max="12288" width="9.140625" style="5"/>
    <col min="12289" max="12289" width="5.85546875" style="5" customWidth="1"/>
    <col min="12290" max="12290" width="45" style="5" customWidth="1"/>
    <col min="12291" max="12291" width="20.7109375" style="5" customWidth="1"/>
    <col min="12292" max="12292" width="21.85546875" style="5" customWidth="1"/>
    <col min="12293" max="12293" width="19" style="5" customWidth="1"/>
    <col min="12294" max="12294" width="13" style="5" customWidth="1"/>
    <col min="12295" max="12544" width="9.140625" style="5"/>
    <col min="12545" max="12545" width="5.85546875" style="5" customWidth="1"/>
    <col min="12546" max="12546" width="45" style="5" customWidth="1"/>
    <col min="12547" max="12547" width="20.7109375" style="5" customWidth="1"/>
    <col min="12548" max="12548" width="21.85546875" style="5" customWidth="1"/>
    <col min="12549" max="12549" width="19" style="5" customWidth="1"/>
    <col min="12550" max="12550" width="13" style="5" customWidth="1"/>
    <col min="12551" max="12800" width="9.140625" style="5"/>
    <col min="12801" max="12801" width="5.85546875" style="5" customWidth="1"/>
    <col min="12802" max="12802" width="45" style="5" customWidth="1"/>
    <col min="12803" max="12803" width="20.7109375" style="5" customWidth="1"/>
    <col min="12804" max="12804" width="21.85546875" style="5" customWidth="1"/>
    <col min="12805" max="12805" width="19" style="5" customWidth="1"/>
    <col min="12806" max="12806" width="13" style="5" customWidth="1"/>
    <col min="12807" max="13056" width="9.140625" style="5"/>
    <col min="13057" max="13057" width="5.85546875" style="5" customWidth="1"/>
    <col min="13058" max="13058" width="45" style="5" customWidth="1"/>
    <col min="13059" max="13059" width="20.7109375" style="5" customWidth="1"/>
    <col min="13060" max="13060" width="21.85546875" style="5" customWidth="1"/>
    <col min="13061" max="13061" width="19" style="5" customWidth="1"/>
    <col min="13062" max="13062" width="13" style="5" customWidth="1"/>
    <col min="13063" max="13312" width="9.140625" style="5"/>
    <col min="13313" max="13313" width="5.85546875" style="5" customWidth="1"/>
    <col min="13314" max="13314" width="45" style="5" customWidth="1"/>
    <col min="13315" max="13315" width="20.7109375" style="5" customWidth="1"/>
    <col min="13316" max="13316" width="21.85546875" style="5" customWidth="1"/>
    <col min="13317" max="13317" width="19" style="5" customWidth="1"/>
    <col min="13318" max="13318" width="13" style="5" customWidth="1"/>
    <col min="13319" max="13568" width="9.140625" style="5"/>
    <col min="13569" max="13569" width="5.85546875" style="5" customWidth="1"/>
    <col min="13570" max="13570" width="45" style="5" customWidth="1"/>
    <col min="13571" max="13571" width="20.7109375" style="5" customWidth="1"/>
    <col min="13572" max="13572" width="21.85546875" style="5" customWidth="1"/>
    <col min="13573" max="13573" width="19" style="5" customWidth="1"/>
    <col min="13574" max="13574" width="13" style="5" customWidth="1"/>
    <col min="13575" max="13824" width="9.140625" style="5"/>
    <col min="13825" max="13825" width="5.85546875" style="5" customWidth="1"/>
    <col min="13826" max="13826" width="45" style="5" customWidth="1"/>
    <col min="13827" max="13827" width="20.7109375" style="5" customWidth="1"/>
    <col min="13828" max="13828" width="21.85546875" style="5" customWidth="1"/>
    <col min="13829" max="13829" width="19" style="5" customWidth="1"/>
    <col min="13830" max="13830" width="13" style="5" customWidth="1"/>
    <col min="13831" max="14080" width="9.140625" style="5"/>
    <col min="14081" max="14081" width="5.85546875" style="5" customWidth="1"/>
    <col min="14082" max="14082" width="45" style="5" customWidth="1"/>
    <col min="14083" max="14083" width="20.7109375" style="5" customWidth="1"/>
    <col min="14084" max="14084" width="21.85546875" style="5" customWidth="1"/>
    <col min="14085" max="14085" width="19" style="5" customWidth="1"/>
    <col min="14086" max="14086" width="13" style="5" customWidth="1"/>
    <col min="14087" max="14336" width="9.140625" style="5"/>
    <col min="14337" max="14337" width="5.85546875" style="5" customWidth="1"/>
    <col min="14338" max="14338" width="45" style="5" customWidth="1"/>
    <col min="14339" max="14339" width="20.7109375" style="5" customWidth="1"/>
    <col min="14340" max="14340" width="21.85546875" style="5" customWidth="1"/>
    <col min="14341" max="14341" width="19" style="5" customWidth="1"/>
    <col min="14342" max="14342" width="13" style="5" customWidth="1"/>
    <col min="14343" max="14592" width="9.140625" style="5"/>
    <col min="14593" max="14593" width="5.85546875" style="5" customWidth="1"/>
    <col min="14594" max="14594" width="45" style="5" customWidth="1"/>
    <col min="14595" max="14595" width="20.7109375" style="5" customWidth="1"/>
    <col min="14596" max="14596" width="21.85546875" style="5" customWidth="1"/>
    <col min="14597" max="14597" width="19" style="5" customWidth="1"/>
    <col min="14598" max="14598" width="13" style="5" customWidth="1"/>
    <col min="14599" max="14848" width="9.140625" style="5"/>
    <col min="14849" max="14849" width="5.85546875" style="5" customWidth="1"/>
    <col min="14850" max="14850" width="45" style="5" customWidth="1"/>
    <col min="14851" max="14851" width="20.7109375" style="5" customWidth="1"/>
    <col min="14852" max="14852" width="21.85546875" style="5" customWidth="1"/>
    <col min="14853" max="14853" width="19" style="5" customWidth="1"/>
    <col min="14854" max="14854" width="13" style="5" customWidth="1"/>
    <col min="14855" max="15104" width="9.140625" style="5"/>
    <col min="15105" max="15105" width="5.85546875" style="5" customWidth="1"/>
    <col min="15106" max="15106" width="45" style="5" customWidth="1"/>
    <col min="15107" max="15107" width="20.7109375" style="5" customWidth="1"/>
    <col min="15108" max="15108" width="21.85546875" style="5" customWidth="1"/>
    <col min="15109" max="15109" width="19" style="5" customWidth="1"/>
    <col min="15110" max="15110" width="13" style="5" customWidth="1"/>
    <col min="15111" max="15360" width="9.140625" style="5"/>
    <col min="15361" max="15361" width="5.85546875" style="5" customWidth="1"/>
    <col min="15362" max="15362" width="45" style="5" customWidth="1"/>
    <col min="15363" max="15363" width="20.7109375" style="5" customWidth="1"/>
    <col min="15364" max="15364" width="21.85546875" style="5" customWidth="1"/>
    <col min="15365" max="15365" width="19" style="5" customWidth="1"/>
    <col min="15366" max="15366" width="13" style="5" customWidth="1"/>
    <col min="15367" max="15616" width="9.140625" style="5"/>
    <col min="15617" max="15617" width="5.85546875" style="5" customWidth="1"/>
    <col min="15618" max="15618" width="45" style="5" customWidth="1"/>
    <col min="15619" max="15619" width="20.7109375" style="5" customWidth="1"/>
    <col min="15620" max="15620" width="21.85546875" style="5" customWidth="1"/>
    <col min="15621" max="15621" width="19" style="5" customWidth="1"/>
    <col min="15622" max="15622" width="13" style="5" customWidth="1"/>
    <col min="15623" max="15872" width="9.140625" style="5"/>
    <col min="15873" max="15873" width="5.85546875" style="5" customWidth="1"/>
    <col min="15874" max="15874" width="45" style="5" customWidth="1"/>
    <col min="15875" max="15875" width="20.7109375" style="5" customWidth="1"/>
    <col min="15876" max="15876" width="21.85546875" style="5" customWidth="1"/>
    <col min="15877" max="15877" width="19" style="5" customWidth="1"/>
    <col min="15878" max="15878" width="13" style="5" customWidth="1"/>
    <col min="15879" max="16128" width="9.140625" style="5"/>
    <col min="16129" max="16129" width="5.85546875" style="5" customWidth="1"/>
    <col min="16130" max="16130" width="45" style="5" customWidth="1"/>
    <col min="16131" max="16131" width="20.7109375" style="5" customWidth="1"/>
    <col min="16132" max="16132" width="21.85546875" style="5" customWidth="1"/>
    <col min="16133" max="16133" width="19" style="5" customWidth="1"/>
    <col min="16134" max="16134" width="13" style="5" customWidth="1"/>
    <col min="16135" max="16384" width="9.140625" style="5"/>
  </cols>
  <sheetData>
    <row r="1" spans="1:6" ht="21" customHeight="1">
      <c r="A1" s="263" t="s">
        <v>181</v>
      </c>
      <c r="B1" s="2"/>
      <c r="C1" s="3"/>
      <c r="D1" s="4"/>
      <c r="E1" s="4"/>
    </row>
    <row r="2" spans="1:6" ht="18.75">
      <c r="A2" s="1"/>
      <c r="B2" s="1"/>
      <c r="C2" s="3"/>
      <c r="D2" s="3"/>
      <c r="E2" s="3"/>
      <c r="F2" s="3"/>
    </row>
    <row r="3" spans="1:6" ht="21" customHeight="1">
      <c r="A3" s="308" t="s">
        <v>297</v>
      </c>
      <c r="B3" s="308"/>
      <c r="C3" s="308"/>
      <c r="D3" s="308"/>
      <c r="E3" s="308"/>
      <c r="F3" s="308"/>
    </row>
    <row r="4" spans="1:6" ht="21" customHeight="1">
      <c r="A4" s="309" t="s">
        <v>2</v>
      </c>
      <c r="B4" s="309"/>
      <c r="C4" s="309"/>
      <c r="D4" s="309"/>
      <c r="E4" s="309"/>
      <c r="F4" s="309"/>
    </row>
    <row r="5" spans="1:6" ht="9.75" customHeight="1">
      <c r="A5" s="4"/>
      <c r="B5" s="6"/>
      <c r="C5" s="3"/>
      <c r="D5" s="3"/>
      <c r="E5" s="3"/>
      <c r="F5" s="3"/>
    </row>
    <row r="6" spans="1:6" ht="9.75" customHeight="1">
      <c r="A6" s="6"/>
      <c r="B6" s="6"/>
      <c r="C6" s="3"/>
      <c r="D6" s="3"/>
      <c r="E6" s="3"/>
      <c r="F6" s="3"/>
    </row>
    <row r="7" spans="1:6" ht="19.5" customHeight="1">
      <c r="A7" s="7"/>
      <c r="B7" s="7"/>
      <c r="C7" s="8"/>
      <c r="D7" s="310" t="s">
        <v>3</v>
      </c>
      <c r="E7" s="310"/>
      <c r="F7" s="310"/>
    </row>
    <row r="8" spans="1:6" s="9" customFormat="1" ht="21.75" customHeight="1">
      <c r="A8" s="311" t="s">
        <v>182</v>
      </c>
      <c r="B8" s="312" t="s">
        <v>183</v>
      </c>
      <c r="C8" s="311" t="s">
        <v>6</v>
      </c>
      <c r="D8" s="312" t="s">
        <v>7</v>
      </c>
      <c r="E8" s="312" t="s">
        <v>150</v>
      </c>
      <c r="F8" s="312"/>
    </row>
    <row r="9" spans="1:6" s="9" customFormat="1" ht="23.25" customHeight="1">
      <c r="A9" s="311"/>
      <c r="B9" s="312"/>
      <c r="C9" s="311"/>
      <c r="D9" s="312"/>
      <c r="E9" s="10" t="s">
        <v>184</v>
      </c>
      <c r="F9" s="10" t="s">
        <v>185</v>
      </c>
    </row>
    <row r="10" spans="1:6" s="13" customFormat="1" ht="17.25" customHeight="1">
      <c r="A10" s="11" t="s">
        <v>9</v>
      </c>
      <c r="B10" s="11" t="s">
        <v>26</v>
      </c>
      <c r="C10" s="11">
        <v>1</v>
      </c>
      <c r="D10" s="11">
        <f>C10+1</f>
        <v>2</v>
      </c>
      <c r="E10" s="11" t="s">
        <v>186</v>
      </c>
      <c r="F10" s="12" t="s">
        <v>187</v>
      </c>
    </row>
    <row r="11" spans="1:6" s="18" customFormat="1" ht="18.75">
      <c r="A11" s="14" t="s">
        <v>9</v>
      </c>
      <c r="B11" s="15" t="s">
        <v>188</v>
      </c>
      <c r="C11" s="16">
        <f>C12+C15+C18+C19+C20</f>
        <v>368798000000</v>
      </c>
      <c r="D11" s="16">
        <f>D12+D15+D18+D19+D20</f>
        <v>457840680162</v>
      </c>
      <c r="E11" s="17">
        <f>D11-C11</f>
        <v>89042680162</v>
      </c>
      <c r="F11" s="101">
        <f>D11/C11</f>
        <v>1.2414402468614254</v>
      </c>
    </row>
    <row r="12" spans="1:6" s="18" customFormat="1" ht="37.5">
      <c r="A12" s="19" t="s">
        <v>11</v>
      </c>
      <c r="B12" s="20" t="s">
        <v>189</v>
      </c>
      <c r="C12" s="17">
        <f>SUM(C13:C14)</f>
        <v>15841000000</v>
      </c>
      <c r="D12" s="17">
        <f>SUM(D13:D14)</f>
        <v>22386728610</v>
      </c>
      <c r="E12" s="17">
        <f>SUM(E13:E14)</f>
        <v>6545728610</v>
      </c>
      <c r="F12" s="102">
        <f>D12/C12</f>
        <v>1.4132143557856196</v>
      </c>
    </row>
    <row r="13" spans="1:6" s="18" customFormat="1" ht="18.75">
      <c r="A13" s="21" t="s">
        <v>15</v>
      </c>
      <c r="B13" s="22" t="s">
        <v>190</v>
      </c>
      <c r="C13" s="23">
        <v>7913000000</v>
      </c>
      <c r="D13" s="23">
        <v>12096259807</v>
      </c>
      <c r="E13" s="23">
        <f>D13-C13</f>
        <v>4183259807</v>
      </c>
      <c r="F13" s="103">
        <f>D13/C13</f>
        <v>1.5286566165803108</v>
      </c>
    </row>
    <row r="14" spans="1:6" s="18" customFormat="1" ht="37.5">
      <c r="A14" s="21" t="s">
        <v>15</v>
      </c>
      <c r="B14" s="22" t="s">
        <v>191</v>
      </c>
      <c r="C14" s="23">
        <v>7928000000</v>
      </c>
      <c r="D14" s="23">
        <v>10290468803</v>
      </c>
      <c r="E14" s="23">
        <f>D14-C14</f>
        <v>2362468803</v>
      </c>
      <c r="F14" s="103">
        <f t="shared" ref="F14:F17" si="0">D14/C14</f>
        <v>1.2979905150100908</v>
      </c>
    </row>
    <row r="15" spans="1:6" s="24" customFormat="1" ht="18.75">
      <c r="A15" s="19" t="s">
        <v>19</v>
      </c>
      <c r="B15" s="20" t="s">
        <v>192</v>
      </c>
      <c r="C15" s="23">
        <f>SUM(C16:C17)</f>
        <v>352957000000</v>
      </c>
      <c r="D15" s="23">
        <f>SUM(D16:D17)</f>
        <v>380662003000</v>
      </c>
      <c r="E15" s="23">
        <f>D15-C15</f>
        <v>27705003000</v>
      </c>
      <c r="F15" s="103">
        <f t="shared" si="0"/>
        <v>1.0784939893528107</v>
      </c>
    </row>
    <row r="16" spans="1:6" s="18" customFormat="1" ht="18.75">
      <c r="A16" s="25">
        <v>1</v>
      </c>
      <c r="B16" s="22" t="s">
        <v>193</v>
      </c>
      <c r="C16" s="23">
        <v>261172000000</v>
      </c>
      <c r="D16" s="23">
        <v>261172000000</v>
      </c>
      <c r="E16" s="23">
        <f t="shared" ref="E16:E41" si="1">D16-C16</f>
        <v>0</v>
      </c>
      <c r="F16" s="103">
        <f t="shared" si="0"/>
        <v>1</v>
      </c>
    </row>
    <row r="17" spans="1:6" s="18" customFormat="1" ht="18.75">
      <c r="A17" s="25">
        <f>A16+1</f>
        <v>2</v>
      </c>
      <c r="B17" s="22" t="s">
        <v>194</v>
      </c>
      <c r="C17" s="23">
        <v>91785000000</v>
      </c>
      <c r="D17" s="23">
        <v>119490003000</v>
      </c>
      <c r="E17" s="23">
        <f t="shared" si="1"/>
        <v>27705003000</v>
      </c>
      <c r="F17" s="103">
        <f t="shared" si="0"/>
        <v>1.3018467396633437</v>
      </c>
    </row>
    <row r="18" spans="1:6" s="26" customFormat="1" ht="19.5">
      <c r="A18" s="19" t="s">
        <v>63</v>
      </c>
      <c r="B18" s="20" t="s">
        <v>195</v>
      </c>
      <c r="C18" s="23"/>
      <c r="D18" s="23"/>
      <c r="E18" s="23">
        <f t="shared" si="1"/>
        <v>0</v>
      </c>
      <c r="F18" s="103"/>
    </row>
    <row r="19" spans="1:6" s="26" customFormat="1" ht="19.5">
      <c r="A19" s="19" t="s">
        <v>64</v>
      </c>
      <c r="B19" s="20" t="s">
        <v>196</v>
      </c>
      <c r="C19" s="23"/>
      <c r="D19" s="23">
        <v>9115264106</v>
      </c>
      <c r="E19" s="23">
        <f t="shared" si="1"/>
        <v>9115264106</v>
      </c>
      <c r="F19" s="103"/>
    </row>
    <row r="20" spans="1:6" s="26" customFormat="1" ht="37.5">
      <c r="A20" s="19" t="s">
        <v>22</v>
      </c>
      <c r="B20" s="20" t="s">
        <v>197</v>
      </c>
      <c r="C20" s="23"/>
      <c r="D20" s="23">
        <v>45676684446</v>
      </c>
      <c r="E20" s="23">
        <f t="shared" si="1"/>
        <v>45676684446</v>
      </c>
      <c r="F20" s="103"/>
    </row>
    <row r="21" spans="1:6" s="18" customFormat="1" ht="18.75">
      <c r="A21" s="19" t="s">
        <v>26</v>
      </c>
      <c r="B21" s="20" t="s">
        <v>48</v>
      </c>
      <c r="C21" s="17">
        <f>C22+C29+C32+C33</f>
        <v>368798000000</v>
      </c>
      <c r="D21" s="17">
        <f>D22+D29+D32+D33</f>
        <v>449966404988</v>
      </c>
      <c r="E21" s="17">
        <f t="shared" si="1"/>
        <v>81168404988</v>
      </c>
      <c r="F21" s="102">
        <f>D21/C21</f>
        <v>1.2200890595610605</v>
      </c>
    </row>
    <row r="22" spans="1:6" s="18" customFormat="1" ht="18.75">
      <c r="A22" s="19" t="s">
        <v>11</v>
      </c>
      <c r="B22" s="20" t="s">
        <v>198</v>
      </c>
      <c r="C22" s="23">
        <f>SUM(C23:C28)</f>
        <v>314111000000</v>
      </c>
      <c r="D22" s="23">
        <f>SUM(D23:D28)</f>
        <v>329078752650</v>
      </c>
      <c r="E22" s="23">
        <f t="shared" si="1"/>
        <v>14967752650</v>
      </c>
      <c r="F22" s="103">
        <f>D22/C22</f>
        <v>1.0476511572342262</v>
      </c>
    </row>
    <row r="23" spans="1:6" s="18" customFormat="1" ht="18.75">
      <c r="A23" s="25">
        <v>1</v>
      </c>
      <c r="B23" s="22" t="s">
        <v>199</v>
      </c>
      <c r="C23" s="23">
        <f>8030000000+1760000000+24594000000</f>
        <v>34384000000</v>
      </c>
      <c r="D23" s="23">
        <f>41187051258+1721024699</f>
        <v>42908075957</v>
      </c>
      <c r="E23" s="23">
        <f t="shared" si="1"/>
        <v>8524075957</v>
      </c>
      <c r="F23" s="103">
        <f t="shared" ref="F23:F24" si="2">D23/C23</f>
        <v>1.2479082118718008</v>
      </c>
    </row>
    <row r="24" spans="1:6" s="18" customFormat="1" ht="18.75">
      <c r="A24" s="25">
        <f>A23+1</f>
        <v>2</v>
      </c>
      <c r="B24" s="22" t="s">
        <v>20</v>
      </c>
      <c r="C24" s="23">
        <f>261673000000+12504000000</f>
        <v>274177000000</v>
      </c>
      <c r="D24" s="23">
        <f>311938626650-9801190507-D31</f>
        <v>286170676693</v>
      </c>
      <c r="E24" s="23">
        <f t="shared" si="1"/>
        <v>11993676693</v>
      </c>
      <c r="F24" s="103">
        <f t="shared" si="2"/>
        <v>1.0437442845059943</v>
      </c>
    </row>
    <row r="25" spans="1:6" s="18" customFormat="1" ht="37.5">
      <c r="A25" s="25">
        <f>A24+1</f>
        <v>3</v>
      </c>
      <c r="B25" s="22" t="s">
        <v>200</v>
      </c>
      <c r="C25" s="23"/>
      <c r="D25" s="23"/>
      <c r="E25" s="23"/>
      <c r="F25" s="103"/>
    </row>
    <row r="26" spans="1:6" s="27" customFormat="1" ht="18.75">
      <c r="A26" s="25">
        <f>A25+1</f>
        <v>4</v>
      </c>
      <c r="B26" s="22" t="s">
        <v>201</v>
      </c>
      <c r="C26" s="23"/>
      <c r="D26" s="23"/>
      <c r="E26" s="23"/>
      <c r="F26" s="103"/>
    </row>
    <row r="27" spans="1:6" s="27" customFormat="1" ht="18.75">
      <c r="A27" s="25">
        <f>A26+1</f>
        <v>5</v>
      </c>
      <c r="B27" s="22" t="s">
        <v>23</v>
      </c>
      <c r="C27" s="23">
        <v>5550000000</v>
      </c>
      <c r="D27" s="23"/>
      <c r="E27" s="23"/>
      <c r="F27" s="103">
        <f>D27/C27</f>
        <v>0</v>
      </c>
    </row>
    <row r="28" spans="1:6" s="18" customFormat="1" ht="18.75">
      <c r="A28" s="25">
        <f>A27+1</f>
        <v>6</v>
      </c>
      <c r="B28" s="22" t="s">
        <v>25</v>
      </c>
      <c r="C28" s="23"/>
      <c r="D28" s="23"/>
      <c r="E28" s="23"/>
      <c r="F28" s="103"/>
    </row>
    <row r="29" spans="1:6" s="18" customFormat="1" ht="18.75">
      <c r="A29" s="19" t="s">
        <v>19</v>
      </c>
      <c r="B29" s="20" t="s">
        <v>202</v>
      </c>
      <c r="C29" s="17">
        <f>SUM(C30:C31)</f>
        <v>54687000000</v>
      </c>
      <c r="D29" s="17">
        <f>SUM(D30:D31)</f>
        <v>58377574043</v>
      </c>
      <c r="E29" s="17">
        <f t="shared" si="1"/>
        <v>3690574043</v>
      </c>
      <c r="F29" s="102">
        <f>D29/C29</f>
        <v>1.0674853995099385</v>
      </c>
    </row>
    <row r="30" spans="1:6" s="18" customFormat="1" ht="18.75">
      <c r="A30" s="25">
        <v>1</v>
      </c>
      <c r="B30" s="22" t="s">
        <v>28</v>
      </c>
      <c r="C30" s="23">
        <v>41722000000</v>
      </c>
      <c r="D30" s="23">
        <v>42410814593</v>
      </c>
      <c r="E30" s="23">
        <f t="shared" si="1"/>
        <v>688814593</v>
      </c>
      <c r="F30" s="103">
        <f>D30/C30</f>
        <v>1.0165096254494033</v>
      </c>
    </row>
    <row r="31" spans="1:6" s="18" customFormat="1" ht="37.5">
      <c r="A31" s="25">
        <f>A30+1</f>
        <v>2</v>
      </c>
      <c r="B31" s="22" t="s">
        <v>203</v>
      </c>
      <c r="C31" s="23">
        <v>12965000000</v>
      </c>
      <c r="D31" s="23">
        <f>15966759450</f>
        <v>15966759450</v>
      </c>
      <c r="E31" s="23">
        <f t="shared" si="1"/>
        <v>3001759450</v>
      </c>
      <c r="F31" s="103">
        <f>D31/C31</f>
        <v>1.2315279174701119</v>
      </c>
    </row>
    <row r="32" spans="1:6" s="18" customFormat="1" ht="18.75">
      <c r="A32" s="19" t="s">
        <v>63</v>
      </c>
      <c r="B32" s="20" t="s">
        <v>123</v>
      </c>
      <c r="C32" s="23"/>
      <c r="D32" s="23">
        <f>58453927735+1059585636</f>
        <v>59513513371</v>
      </c>
      <c r="E32" s="23">
        <f>D32-C32</f>
        <v>59513513371</v>
      </c>
      <c r="F32" s="103"/>
    </row>
    <row r="33" spans="1:6" s="18" customFormat="1" ht="18.75">
      <c r="A33" s="19" t="s">
        <v>64</v>
      </c>
      <c r="B33" s="20" t="s">
        <v>204</v>
      </c>
      <c r="C33" s="23"/>
      <c r="D33" s="23">
        <f>2996564924</f>
        <v>2996564924</v>
      </c>
      <c r="E33" s="23">
        <f t="shared" si="1"/>
        <v>2996564924</v>
      </c>
      <c r="F33" s="103"/>
    </row>
    <row r="34" spans="1:6" s="32" customFormat="1" ht="18.75">
      <c r="A34" s="28" t="s">
        <v>44</v>
      </c>
      <c r="B34" s="20" t="s">
        <v>205</v>
      </c>
      <c r="C34" s="29"/>
      <c r="D34" s="30">
        <f>D11-D21</f>
        <v>7874275174</v>
      </c>
      <c r="E34" s="31">
        <f t="shared" si="1"/>
        <v>7874275174</v>
      </c>
      <c r="F34" s="103"/>
    </row>
    <row r="35" spans="1:6" s="33" customFormat="1" ht="18.75">
      <c r="A35" s="28" t="s">
        <v>206</v>
      </c>
      <c r="B35" s="20" t="s">
        <v>207</v>
      </c>
      <c r="C35" s="29"/>
      <c r="D35" s="29"/>
      <c r="E35" s="23">
        <f t="shared" si="1"/>
        <v>0</v>
      </c>
      <c r="F35" s="104"/>
    </row>
    <row r="36" spans="1:6" s="34" customFormat="1" ht="18.75">
      <c r="A36" s="19" t="s">
        <v>11</v>
      </c>
      <c r="B36" s="20" t="s">
        <v>208</v>
      </c>
      <c r="C36" s="29"/>
      <c r="D36" s="29"/>
      <c r="E36" s="23">
        <f t="shared" si="1"/>
        <v>0</v>
      </c>
      <c r="F36" s="104"/>
    </row>
    <row r="37" spans="1:6" s="34" customFormat="1" ht="37.5">
      <c r="A37" s="19" t="s">
        <v>19</v>
      </c>
      <c r="B37" s="20" t="s">
        <v>209</v>
      </c>
      <c r="C37" s="29"/>
      <c r="D37" s="29"/>
      <c r="E37" s="23">
        <f t="shared" si="1"/>
        <v>0</v>
      </c>
      <c r="F37" s="104"/>
    </row>
    <row r="38" spans="1:6" s="33" customFormat="1" ht="18.75">
      <c r="A38" s="19" t="s">
        <v>210</v>
      </c>
      <c r="B38" s="35" t="s">
        <v>211</v>
      </c>
      <c r="C38" s="29"/>
      <c r="D38" s="29"/>
      <c r="E38" s="23">
        <f t="shared" si="1"/>
        <v>0</v>
      </c>
      <c r="F38" s="104"/>
    </row>
    <row r="39" spans="1:6" s="34" customFormat="1" ht="18.75">
      <c r="A39" s="19" t="s">
        <v>11</v>
      </c>
      <c r="B39" s="20" t="s">
        <v>212</v>
      </c>
      <c r="C39" s="29"/>
      <c r="D39" s="29"/>
      <c r="E39" s="23">
        <f t="shared" si="1"/>
        <v>0</v>
      </c>
      <c r="F39" s="104"/>
    </row>
    <row r="40" spans="1:6" s="34" customFormat="1" ht="18.75">
      <c r="A40" s="19" t="s">
        <v>19</v>
      </c>
      <c r="B40" s="20" t="s">
        <v>213</v>
      </c>
      <c r="C40" s="29"/>
      <c r="D40" s="29"/>
      <c r="E40" s="23">
        <f t="shared" si="1"/>
        <v>0</v>
      </c>
      <c r="F40" s="104"/>
    </row>
    <row r="41" spans="1:6" s="33" customFormat="1" ht="37.5">
      <c r="A41" s="28" t="s">
        <v>214</v>
      </c>
      <c r="B41" s="35" t="s">
        <v>215</v>
      </c>
      <c r="C41" s="29"/>
      <c r="D41" s="29"/>
      <c r="E41" s="23">
        <f t="shared" si="1"/>
        <v>0</v>
      </c>
      <c r="F41" s="104"/>
    </row>
    <row r="42" spans="1:6" s="27" customFormat="1" ht="9" customHeight="1">
      <c r="A42" s="36"/>
      <c r="B42" s="37"/>
      <c r="C42" s="38"/>
      <c r="D42" s="38"/>
      <c r="E42" s="38"/>
      <c r="F42" s="105"/>
    </row>
    <row r="43" spans="1:6" s="27" customFormat="1" ht="18.75">
      <c r="A43" s="39"/>
      <c r="B43" s="40"/>
      <c r="C43" s="41"/>
      <c r="D43" s="41"/>
      <c r="E43" s="41"/>
      <c r="F43" s="42"/>
    </row>
    <row r="44" spans="1:6" s="27" customFormat="1" ht="18.75">
      <c r="A44" s="39"/>
      <c r="B44" s="40"/>
      <c r="C44" s="41"/>
      <c r="D44" s="41"/>
      <c r="E44" s="41"/>
      <c r="F44" s="42"/>
    </row>
    <row r="45" spans="1:6" s="27" customFormat="1" ht="18.75">
      <c r="A45" s="39"/>
      <c r="B45" s="40"/>
      <c r="C45" s="41"/>
      <c r="D45" s="41"/>
      <c r="E45" s="41"/>
      <c r="F45" s="42"/>
    </row>
    <row r="46" spans="1:6" s="27" customFormat="1" ht="18.75">
      <c r="A46" s="39"/>
      <c r="B46" s="40"/>
      <c r="C46" s="41"/>
      <c r="D46" s="41"/>
      <c r="E46" s="41"/>
      <c r="F46" s="42"/>
    </row>
    <row r="47" spans="1:6" s="27" customFormat="1" ht="18.75">
      <c r="A47" s="39"/>
      <c r="B47" s="40"/>
      <c r="C47" s="41"/>
      <c r="D47" s="41"/>
      <c r="E47" s="41"/>
      <c r="F47" s="42"/>
    </row>
    <row r="48" spans="1:6" s="27" customFormat="1" ht="18.75">
      <c r="A48" s="39"/>
      <c r="B48" s="40"/>
      <c r="C48" s="41"/>
      <c r="D48" s="41"/>
      <c r="E48" s="41"/>
      <c r="F48" s="42"/>
    </row>
    <row r="49" spans="1:6" s="27" customFormat="1" ht="18.75">
      <c r="A49" s="39"/>
      <c r="B49" s="40"/>
      <c r="C49" s="41"/>
      <c r="D49" s="41"/>
      <c r="E49" s="41"/>
      <c r="F49" s="42"/>
    </row>
    <row r="50" spans="1:6" s="27" customFormat="1" ht="18.75">
      <c r="A50" s="39"/>
      <c r="B50" s="40"/>
      <c r="C50" s="41"/>
      <c r="D50" s="41"/>
      <c r="E50" s="41"/>
      <c r="F50" s="42"/>
    </row>
    <row r="51" spans="1:6" s="27" customFormat="1" ht="18.75">
      <c r="A51" s="39"/>
      <c r="B51" s="40"/>
      <c r="C51" s="41"/>
      <c r="D51" s="41"/>
      <c r="E51" s="41"/>
      <c r="F51" s="42"/>
    </row>
    <row r="52" spans="1:6" s="27" customFormat="1" ht="18.75">
      <c r="A52" s="39"/>
      <c r="B52" s="40"/>
      <c r="C52" s="41"/>
      <c r="D52" s="41"/>
      <c r="E52" s="41"/>
      <c r="F52" s="42"/>
    </row>
    <row r="53" spans="1:6" ht="24.75" customHeight="1">
      <c r="A53" s="43" t="s">
        <v>216</v>
      </c>
      <c r="C53" s="44"/>
      <c r="D53" s="44"/>
      <c r="E53" s="44"/>
    </row>
    <row r="54" spans="1:6" ht="21" customHeight="1">
      <c r="A54" s="43"/>
      <c r="B54" s="307" t="s">
        <v>217</v>
      </c>
      <c r="C54" s="307"/>
      <c r="D54" s="307"/>
      <c r="E54" s="307"/>
      <c r="F54" s="307"/>
    </row>
    <row r="55" spans="1:6" ht="6.75" customHeight="1">
      <c r="A55" s="45"/>
      <c r="B55" s="46"/>
    </row>
    <row r="59" spans="1:6" ht="20.25" customHeight="1">
      <c r="A59" s="43" t="s">
        <v>218</v>
      </c>
      <c r="C59" s="44"/>
      <c r="D59" s="44"/>
      <c r="E59" s="44"/>
    </row>
    <row r="60" spans="1:6" ht="20.25" customHeight="1">
      <c r="A60" s="43"/>
      <c r="B60" s="43" t="s">
        <v>219</v>
      </c>
      <c r="C60" s="44"/>
      <c r="D60" s="44"/>
      <c r="E60" s="44"/>
    </row>
    <row r="61" spans="1:6" s="43" customFormat="1" ht="20.25" customHeight="1">
      <c r="B61" s="43" t="s">
        <v>220</v>
      </c>
      <c r="C61" s="45"/>
      <c r="D61" s="45"/>
      <c r="E61" s="45"/>
    </row>
    <row r="63" spans="1:6" ht="18.75">
      <c r="B63" s="46" t="s">
        <v>221</v>
      </c>
    </row>
  </sheetData>
  <mergeCells count="9">
    <mergeCell ref="B54:F54"/>
    <mergeCell ref="A3:F3"/>
    <mergeCell ref="A4:F4"/>
    <mergeCell ref="D7:F7"/>
    <mergeCell ref="A8:A9"/>
    <mergeCell ref="B8:B9"/>
    <mergeCell ref="C8:C9"/>
    <mergeCell ref="D8:D9"/>
    <mergeCell ref="E8:F8"/>
  </mergeCells>
  <pageMargins left="0.82" right="0.2" top="0.72" bottom="0.16" header="0.16" footer="0.19"/>
  <pageSetup paperSize="9" scale="70" fitToHeight="5" orientation="portrait" r:id="rId1"/>
  <headerFooter alignWithMargins="0">
    <oddFooter xml:space="preserve">&amp;C&amp;".VnTime,Italic"&amp;8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3"/>
  <sheetViews>
    <sheetView view="pageBreakPreview" topLeftCell="A19" zoomScaleNormal="100" zoomScaleSheetLayoutView="100" workbookViewId="0">
      <selection activeCell="A66" sqref="A66:J66"/>
    </sheetView>
  </sheetViews>
  <sheetFormatPr defaultRowHeight="15.75"/>
  <cols>
    <col min="1" max="1" width="5.85546875" style="51" customWidth="1"/>
    <col min="2" max="2" width="59.85546875" style="51" customWidth="1"/>
    <col min="3" max="6" width="20.140625" style="51" customWidth="1"/>
    <col min="7" max="7" width="13" style="51" customWidth="1"/>
    <col min="8" max="8" width="12.85546875" style="51" customWidth="1"/>
    <col min="9" max="9" width="13" style="51" hidden="1" customWidth="1"/>
    <col min="10" max="10" width="12.28515625" style="51" hidden="1" customWidth="1"/>
    <col min="11" max="256" width="9.140625" style="51"/>
    <col min="257" max="257" width="5.85546875" style="51" customWidth="1"/>
    <col min="258" max="258" width="57.28515625" style="51" customWidth="1"/>
    <col min="259" max="262" width="20.140625" style="51" customWidth="1"/>
    <col min="263" max="263" width="13" style="51" customWidth="1"/>
    <col min="264" max="264" width="11.5703125" style="51" customWidth="1"/>
    <col min="265" max="266" width="0" style="51" hidden="1" customWidth="1"/>
    <col min="267" max="512" width="9.140625" style="51"/>
    <col min="513" max="513" width="5.85546875" style="51" customWidth="1"/>
    <col min="514" max="514" width="57.28515625" style="51" customWidth="1"/>
    <col min="515" max="518" width="20.140625" style="51" customWidth="1"/>
    <col min="519" max="519" width="13" style="51" customWidth="1"/>
    <col min="520" max="520" width="11.5703125" style="51" customWidth="1"/>
    <col min="521" max="522" width="0" style="51" hidden="1" customWidth="1"/>
    <col min="523" max="768" width="9.140625" style="51"/>
    <col min="769" max="769" width="5.85546875" style="51" customWidth="1"/>
    <col min="770" max="770" width="57.28515625" style="51" customWidth="1"/>
    <col min="771" max="774" width="20.140625" style="51" customWidth="1"/>
    <col min="775" max="775" width="13" style="51" customWidth="1"/>
    <col min="776" max="776" width="11.5703125" style="51" customWidth="1"/>
    <col min="777" max="778" width="0" style="51" hidden="1" customWidth="1"/>
    <col min="779" max="1024" width="9.140625" style="51"/>
    <col min="1025" max="1025" width="5.85546875" style="51" customWidth="1"/>
    <col min="1026" max="1026" width="57.28515625" style="51" customWidth="1"/>
    <col min="1027" max="1030" width="20.140625" style="51" customWidth="1"/>
    <col min="1031" max="1031" width="13" style="51" customWidth="1"/>
    <col min="1032" max="1032" width="11.5703125" style="51" customWidth="1"/>
    <col min="1033" max="1034" width="0" style="51" hidden="1" customWidth="1"/>
    <col min="1035" max="1280" width="9.140625" style="51"/>
    <col min="1281" max="1281" width="5.85546875" style="51" customWidth="1"/>
    <col min="1282" max="1282" width="57.28515625" style="51" customWidth="1"/>
    <col min="1283" max="1286" width="20.140625" style="51" customWidth="1"/>
    <col min="1287" max="1287" width="13" style="51" customWidth="1"/>
    <col min="1288" max="1288" width="11.5703125" style="51" customWidth="1"/>
    <col min="1289" max="1290" width="0" style="51" hidden="1" customWidth="1"/>
    <col min="1291" max="1536" width="9.140625" style="51"/>
    <col min="1537" max="1537" width="5.85546875" style="51" customWidth="1"/>
    <col min="1538" max="1538" width="57.28515625" style="51" customWidth="1"/>
    <col min="1539" max="1542" width="20.140625" style="51" customWidth="1"/>
    <col min="1543" max="1543" width="13" style="51" customWidth="1"/>
    <col min="1544" max="1544" width="11.5703125" style="51" customWidth="1"/>
    <col min="1545" max="1546" width="0" style="51" hidden="1" customWidth="1"/>
    <col min="1547" max="1792" width="9.140625" style="51"/>
    <col min="1793" max="1793" width="5.85546875" style="51" customWidth="1"/>
    <col min="1794" max="1794" width="57.28515625" style="51" customWidth="1"/>
    <col min="1795" max="1798" width="20.140625" style="51" customWidth="1"/>
    <col min="1799" max="1799" width="13" style="51" customWidth="1"/>
    <col min="1800" max="1800" width="11.5703125" style="51" customWidth="1"/>
    <col min="1801" max="1802" width="0" style="51" hidden="1" customWidth="1"/>
    <col min="1803" max="2048" width="9.140625" style="51"/>
    <col min="2049" max="2049" width="5.85546875" style="51" customWidth="1"/>
    <col min="2050" max="2050" width="57.28515625" style="51" customWidth="1"/>
    <col min="2051" max="2054" width="20.140625" style="51" customWidth="1"/>
    <col min="2055" max="2055" width="13" style="51" customWidth="1"/>
    <col min="2056" max="2056" width="11.5703125" style="51" customWidth="1"/>
    <col min="2057" max="2058" width="0" style="51" hidden="1" customWidth="1"/>
    <col min="2059" max="2304" width="9.140625" style="51"/>
    <col min="2305" max="2305" width="5.85546875" style="51" customWidth="1"/>
    <col min="2306" max="2306" width="57.28515625" style="51" customWidth="1"/>
    <col min="2307" max="2310" width="20.140625" style="51" customWidth="1"/>
    <col min="2311" max="2311" width="13" style="51" customWidth="1"/>
    <col min="2312" max="2312" width="11.5703125" style="51" customWidth="1"/>
    <col min="2313" max="2314" width="0" style="51" hidden="1" customWidth="1"/>
    <col min="2315" max="2560" width="9.140625" style="51"/>
    <col min="2561" max="2561" width="5.85546875" style="51" customWidth="1"/>
    <col min="2562" max="2562" width="57.28515625" style="51" customWidth="1"/>
    <col min="2563" max="2566" width="20.140625" style="51" customWidth="1"/>
    <col min="2567" max="2567" width="13" style="51" customWidth="1"/>
    <col min="2568" max="2568" width="11.5703125" style="51" customWidth="1"/>
    <col min="2569" max="2570" width="0" style="51" hidden="1" customWidth="1"/>
    <col min="2571" max="2816" width="9.140625" style="51"/>
    <col min="2817" max="2817" width="5.85546875" style="51" customWidth="1"/>
    <col min="2818" max="2818" width="57.28515625" style="51" customWidth="1"/>
    <col min="2819" max="2822" width="20.140625" style="51" customWidth="1"/>
    <col min="2823" max="2823" width="13" style="51" customWidth="1"/>
    <col min="2824" max="2824" width="11.5703125" style="51" customWidth="1"/>
    <col min="2825" max="2826" width="0" style="51" hidden="1" customWidth="1"/>
    <col min="2827" max="3072" width="9.140625" style="51"/>
    <col min="3073" max="3073" width="5.85546875" style="51" customWidth="1"/>
    <col min="3074" max="3074" width="57.28515625" style="51" customWidth="1"/>
    <col min="3075" max="3078" width="20.140625" style="51" customWidth="1"/>
    <col min="3079" max="3079" width="13" style="51" customWidth="1"/>
    <col min="3080" max="3080" width="11.5703125" style="51" customWidth="1"/>
    <col min="3081" max="3082" width="0" style="51" hidden="1" customWidth="1"/>
    <col min="3083" max="3328" width="9.140625" style="51"/>
    <col min="3329" max="3329" width="5.85546875" style="51" customWidth="1"/>
    <col min="3330" max="3330" width="57.28515625" style="51" customWidth="1"/>
    <col min="3331" max="3334" width="20.140625" style="51" customWidth="1"/>
    <col min="3335" max="3335" width="13" style="51" customWidth="1"/>
    <col min="3336" max="3336" width="11.5703125" style="51" customWidth="1"/>
    <col min="3337" max="3338" width="0" style="51" hidden="1" customWidth="1"/>
    <col min="3339" max="3584" width="9.140625" style="51"/>
    <col min="3585" max="3585" width="5.85546875" style="51" customWidth="1"/>
    <col min="3586" max="3586" width="57.28515625" style="51" customWidth="1"/>
    <col min="3587" max="3590" width="20.140625" style="51" customWidth="1"/>
    <col min="3591" max="3591" width="13" style="51" customWidth="1"/>
    <col min="3592" max="3592" width="11.5703125" style="51" customWidth="1"/>
    <col min="3593" max="3594" width="0" style="51" hidden="1" customWidth="1"/>
    <col min="3595" max="3840" width="9.140625" style="51"/>
    <col min="3841" max="3841" width="5.85546875" style="51" customWidth="1"/>
    <col min="3842" max="3842" width="57.28515625" style="51" customWidth="1"/>
    <col min="3843" max="3846" width="20.140625" style="51" customWidth="1"/>
    <col min="3847" max="3847" width="13" style="51" customWidth="1"/>
    <col min="3848" max="3848" width="11.5703125" style="51" customWidth="1"/>
    <col min="3849" max="3850" width="0" style="51" hidden="1" customWidth="1"/>
    <col min="3851" max="4096" width="9.140625" style="51"/>
    <col min="4097" max="4097" width="5.85546875" style="51" customWidth="1"/>
    <col min="4098" max="4098" width="57.28515625" style="51" customWidth="1"/>
    <col min="4099" max="4102" width="20.140625" style="51" customWidth="1"/>
    <col min="4103" max="4103" width="13" style="51" customWidth="1"/>
    <col min="4104" max="4104" width="11.5703125" style="51" customWidth="1"/>
    <col min="4105" max="4106" width="0" style="51" hidden="1" customWidth="1"/>
    <col min="4107" max="4352" width="9.140625" style="51"/>
    <col min="4353" max="4353" width="5.85546875" style="51" customWidth="1"/>
    <col min="4354" max="4354" width="57.28515625" style="51" customWidth="1"/>
    <col min="4355" max="4358" width="20.140625" style="51" customWidth="1"/>
    <col min="4359" max="4359" width="13" style="51" customWidth="1"/>
    <col min="4360" max="4360" width="11.5703125" style="51" customWidth="1"/>
    <col min="4361" max="4362" width="0" style="51" hidden="1" customWidth="1"/>
    <col min="4363" max="4608" width="9.140625" style="51"/>
    <col min="4609" max="4609" width="5.85546875" style="51" customWidth="1"/>
    <col min="4610" max="4610" width="57.28515625" style="51" customWidth="1"/>
    <col min="4611" max="4614" width="20.140625" style="51" customWidth="1"/>
    <col min="4615" max="4615" width="13" style="51" customWidth="1"/>
    <col min="4616" max="4616" width="11.5703125" style="51" customWidth="1"/>
    <col min="4617" max="4618" width="0" style="51" hidden="1" customWidth="1"/>
    <col min="4619" max="4864" width="9.140625" style="51"/>
    <col min="4865" max="4865" width="5.85546875" style="51" customWidth="1"/>
    <col min="4866" max="4866" width="57.28515625" style="51" customWidth="1"/>
    <col min="4867" max="4870" width="20.140625" style="51" customWidth="1"/>
    <col min="4871" max="4871" width="13" style="51" customWidth="1"/>
    <col min="4872" max="4872" width="11.5703125" style="51" customWidth="1"/>
    <col min="4873" max="4874" width="0" style="51" hidden="1" customWidth="1"/>
    <col min="4875" max="5120" width="9.140625" style="51"/>
    <col min="5121" max="5121" width="5.85546875" style="51" customWidth="1"/>
    <col min="5122" max="5122" width="57.28515625" style="51" customWidth="1"/>
    <col min="5123" max="5126" width="20.140625" style="51" customWidth="1"/>
    <col min="5127" max="5127" width="13" style="51" customWidth="1"/>
    <col min="5128" max="5128" width="11.5703125" style="51" customWidth="1"/>
    <col min="5129" max="5130" width="0" style="51" hidden="1" customWidth="1"/>
    <col min="5131" max="5376" width="9.140625" style="51"/>
    <col min="5377" max="5377" width="5.85546875" style="51" customWidth="1"/>
    <col min="5378" max="5378" width="57.28515625" style="51" customWidth="1"/>
    <col min="5379" max="5382" width="20.140625" style="51" customWidth="1"/>
    <col min="5383" max="5383" width="13" style="51" customWidth="1"/>
    <col min="5384" max="5384" width="11.5703125" style="51" customWidth="1"/>
    <col min="5385" max="5386" width="0" style="51" hidden="1" customWidth="1"/>
    <col min="5387" max="5632" width="9.140625" style="51"/>
    <col min="5633" max="5633" width="5.85546875" style="51" customWidth="1"/>
    <col min="5634" max="5634" width="57.28515625" style="51" customWidth="1"/>
    <col min="5635" max="5638" width="20.140625" style="51" customWidth="1"/>
    <col min="5639" max="5639" width="13" style="51" customWidth="1"/>
    <col min="5640" max="5640" width="11.5703125" style="51" customWidth="1"/>
    <col min="5641" max="5642" width="0" style="51" hidden="1" customWidth="1"/>
    <col min="5643" max="5888" width="9.140625" style="51"/>
    <col min="5889" max="5889" width="5.85546875" style="51" customWidth="1"/>
    <col min="5890" max="5890" width="57.28515625" style="51" customWidth="1"/>
    <col min="5891" max="5894" width="20.140625" style="51" customWidth="1"/>
    <col min="5895" max="5895" width="13" style="51" customWidth="1"/>
    <col min="5896" max="5896" width="11.5703125" style="51" customWidth="1"/>
    <col min="5897" max="5898" width="0" style="51" hidden="1" customWidth="1"/>
    <col min="5899" max="6144" width="9.140625" style="51"/>
    <col min="6145" max="6145" width="5.85546875" style="51" customWidth="1"/>
    <col min="6146" max="6146" width="57.28515625" style="51" customWidth="1"/>
    <col min="6147" max="6150" width="20.140625" style="51" customWidth="1"/>
    <col min="6151" max="6151" width="13" style="51" customWidth="1"/>
    <col min="6152" max="6152" width="11.5703125" style="51" customWidth="1"/>
    <col min="6153" max="6154" width="0" style="51" hidden="1" customWidth="1"/>
    <col min="6155" max="6400" width="9.140625" style="51"/>
    <col min="6401" max="6401" width="5.85546875" style="51" customWidth="1"/>
    <col min="6402" max="6402" width="57.28515625" style="51" customWidth="1"/>
    <col min="6403" max="6406" width="20.140625" style="51" customWidth="1"/>
    <col min="6407" max="6407" width="13" style="51" customWidth="1"/>
    <col min="6408" max="6408" width="11.5703125" style="51" customWidth="1"/>
    <col min="6409" max="6410" width="0" style="51" hidden="1" customWidth="1"/>
    <col min="6411" max="6656" width="9.140625" style="51"/>
    <col min="6657" max="6657" width="5.85546875" style="51" customWidth="1"/>
    <col min="6658" max="6658" width="57.28515625" style="51" customWidth="1"/>
    <col min="6659" max="6662" width="20.140625" style="51" customWidth="1"/>
    <col min="6663" max="6663" width="13" style="51" customWidth="1"/>
    <col min="6664" max="6664" width="11.5703125" style="51" customWidth="1"/>
    <col min="6665" max="6666" width="0" style="51" hidden="1" customWidth="1"/>
    <col min="6667" max="6912" width="9.140625" style="51"/>
    <col min="6913" max="6913" width="5.85546875" style="51" customWidth="1"/>
    <col min="6914" max="6914" width="57.28515625" style="51" customWidth="1"/>
    <col min="6915" max="6918" width="20.140625" style="51" customWidth="1"/>
    <col min="6919" max="6919" width="13" style="51" customWidth="1"/>
    <col min="6920" max="6920" width="11.5703125" style="51" customWidth="1"/>
    <col min="6921" max="6922" width="0" style="51" hidden="1" customWidth="1"/>
    <col min="6923" max="7168" width="9.140625" style="51"/>
    <col min="7169" max="7169" width="5.85546875" style="51" customWidth="1"/>
    <col min="7170" max="7170" width="57.28515625" style="51" customWidth="1"/>
    <col min="7171" max="7174" width="20.140625" style="51" customWidth="1"/>
    <col min="7175" max="7175" width="13" style="51" customWidth="1"/>
    <col min="7176" max="7176" width="11.5703125" style="51" customWidth="1"/>
    <col min="7177" max="7178" width="0" style="51" hidden="1" customWidth="1"/>
    <col min="7179" max="7424" width="9.140625" style="51"/>
    <col min="7425" max="7425" width="5.85546875" style="51" customWidth="1"/>
    <col min="7426" max="7426" width="57.28515625" style="51" customWidth="1"/>
    <col min="7427" max="7430" width="20.140625" style="51" customWidth="1"/>
    <col min="7431" max="7431" width="13" style="51" customWidth="1"/>
    <col min="7432" max="7432" width="11.5703125" style="51" customWidth="1"/>
    <col min="7433" max="7434" width="0" style="51" hidden="1" customWidth="1"/>
    <col min="7435" max="7680" width="9.140625" style="51"/>
    <col min="7681" max="7681" width="5.85546875" style="51" customWidth="1"/>
    <col min="7682" max="7682" width="57.28515625" style="51" customWidth="1"/>
    <col min="7683" max="7686" width="20.140625" style="51" customWidth="1"/>
    <col min="7687" max="7687" width="13" style="51" customWidth="1"/>
    <col min="7688" max="7688" width="11.5703125" style="51" customWidth="1"/>
    <col min="7689" max="7690" width="0" style="51" hidden="1" customWidth="1"/>
    <col min="7691" max="7936" width="9.140625" style="51"/>
    <col min="7937" max="7937" width="5.85546875" style="51" customWidth="1"/>
    <col min="7938" max="7938" width="57.28515625" style="51" customWidth="1"/>
    <col min="7939" max="7942" width="20.140625" style="51" customWidth="1"/>
    <col min="7943" max="7943" width="13" style="51" customWidth="1"/>
    <col min="7944" max="7944" width="11.5703125" style="51" customWidth="1"/>
    <col min="7945" max="7946" width="0" style="51" hidden="1" customWidth="1"/>
    <col min="7947" max="8192" width="9.140625" style="51"/>
    <col min="8193" max="8193" width="5.85546875" style="51" customWidth="1"/>
    <col min="8194" max="8194" width="57.28515625" style="51" customWidth="1"/>
    <col min="8195" max="8198" width="20.140625" style="51" customWidth="1"/>
    <col min="8199" max="8199" width="13" style="51" customWidth="1"/>
    <col min="8200" max="8200" width="11.5703125" style="51" customWidth="1"/>
    <col min="8201" max="8202" width="0" style="51" hidden="1" customWidth="1"/>
    <col min="8203" max="8448" width="9.140625" style="51"/>
    <col min="8449" max="8449" width="5.85546875" style="51" customWidth="1"/>
    <col min="8450" max="8450" width="57.28515625" style="51" customWidth="1"/>
    <col min="8451" max="8454" width="20.140625" style="51" customWidth="1"/>
    <col min="8455" max="8455" width="13" style="51" customWidth="1"/>
    <col min="8456" max="8456" width="11.5703125" style="51" customWidth="1"/>
    <col min="8457" max="8458" width="0" style="51" hidden="1" customWidth="1"/>
    <col min="8459" max="8704" width="9.140625" style="51"/>
    <col min="8705" max="8705" width="5.85546875" style="51" customWidth="1"/>
    <col min="8706" max="8706" width="57.28515625" style="51" customWidth="1"/>
    <col min="8707" max="8710" width="20.140625" style="51" customWidth="1"/>
    <col min="8711" max="8711" width="13" style="51" customWidth="1"/>
    <col min="8712" max="8712" width="11.5703125" style="51" customWidth="1"/>
    <col min="8713" max="8714" width="0" style="51" hidden="1" customWidth="1"/>
    <col min="8715" max="8960" width="9.140625" style="51"/>
    <col min="8961" max="8961" width="5.85546875" style="51" customWidth="1"/>
    <col min="8962" max="8962" width="57.28515625" style="51" customWidth="1"/>
    <col min="8963" max="8966" width="20.140625" style="51" customWidth="1"/>
    <col min="8967" max="8967" width="13" style="51" customWidth="1"/>
    <col min="8968" max="8968" width="11.5703125" style="51" customWidth="1"/>
    <col min="8969" max="8970" width="0" style="51" hidden="1" customWidth="1"/>
    <col min="8971" max="9216" width="9.140625" style="51"/>
    <col min="9217" max="9217" width="5.85546875" style="51" customWidth="1"/>
    <col min="9218" max="9218" width="57.28515625" style="51" customWidth="1"/>
    <col min="9219" max="9222" width="20.140625" style="51" customWidth="1"/>
    <col min="9223" max="9223" width="13" style="51" customWidth="1"/>
    <col min="9224" max="9224" width="11.5703125" style="51" customWidth="1"/>
    <col min="9225" max="9226" width="0" style="51" hidden="1" customWidth="1"/>
    <col min="9227" max="9472" width="9.140625" style="51"/>
    <col min="9473" max="9473" width="5.85546875" style="51" customWidth="1"/>
    <col min="9474" max="9474" width="57.28515625" style="51" customWidth="1"/>
    <col min="9475" max="9478" width="20.140625" style="51" customWidth="1"/>
    <col min="9479" max="9479" width="13" style="51" customWidth="1"/>
    <col min="9480" max="9480" width="11.5703125" style="51" customWidth="1"/>
    <col min="9481" max="9482" width="0" style="51" hidden="1" customWidth="1"/>
    <col min="9483" max="9728" width="9.140625" style="51"/>
    <col min="9729" max="9729" width="5.85546875" style="51" customWidth="1"/>
    <col min="9730" max="9730" width="57.28515625" style="51" customWidth="1"/>
    <col min="9731" max="9734" width="20.140625" style="51" customWidth="1"/>
    <col min="9735" max="9735" width="13" style="51" customWidth="1"/>
    <col min="9736" max="9736" width="11.5703125" style="51" customWidth="1"/>
    <col min="9737" max="9738" width="0" style="51" hidden="1" customWidth="1"/>
    <col min="9739" max="9984" width="9.140625" style="51"/>
    <col min="9985" max="9985" width="5.85546875" style="51" customWidth="1"/>
    <col min="9986" max="9986" width="57.28515625" style="51" customWidth="1"/>
    <col min="9987" max="9990" width="20.140625" style="51" customWidth="1"/>
    <col min="9991" max="9991" width="13" style="51" customWidth="1"/>
    <col min="9992" max="9992" width="11.5703125" style="51" customWidth="1"/>
    <col min="9993" max="9994" width="0" style="51" hidden="1" customWidth="1"/>
    <col min="9995" max="10240" width="9.140625" style="51"/>
    <col min="10241" max="10241" width="5.85546875" style="51" customWidth="1"/>
    <col min="10242" max="10242" width="57.28515625" style="51" customWidth="1"/>
    <col min="10243" max="10246" width="20.140625" style="51" customWidth="1"/>
    <col min="10247" max="10247" width="13" style="51" customWidth="1"/>
    <col min="10248" max="10248" width="11.5703125" style="51" customWidth="1"/>
    <col min="10249" max="10250" width="0" style="51" hidden="1" customWidth="1"/>
    <col min="10251" max="10496" width="9.140625" style="51"/>
    <col min="10497" max="10497" width="5.85546875" style="51" customWidth="1"/>
    <col min="10498" max="10498" width="57.28515625" style="51" customWidth="1"/>
    <col min="10499" max="10502" width="20.140625" style="51" customWidth="1"/>
    <col min="10503" max="10503" width="13" style="51" customWidth="1"/>
    <col min="10504" max="10504" width="11.5703125" style="51" customWidth="1"/>
    <col min="10505" max="10506" width="0" style="51" hidden="1" customWidth="1"/>
    <col min="10507" max="10752" width="9.140625" style="51"/>
    <col min="10753" max="10753" width="5.85546875" style="51" customWidth="1"/>
    <col min="10754" max="10754" width="57.28515625" style="51" customWidth="1"/>
    <col min="10755" max="10758" width="20.140625" style="51" customWidth="1"/>
    <col min="10759" max="10759" width="13" style="51" customWidth="1"/>
    <col min="10760" max="10760" width="11.5703125" style="51" customWidth="1"/>
    <col min="10761" max="10762" width="0" style="51" hidden="1" customWidth="1"/>
    <col min="10763" max="11008" width="9.140625" style="51"/>
    <col min="11009" max="11009" width="5.85546875" style="51" customWidth="1"/>
    <col min="11010" max="11010" width="57.28515625" style="51" customWidth="1"/>
    <col min="11011" max="11014" width="20.140625" style="51" customWidth="1"/>
    <col min="11015" max="11015" width="13" style="51" customWidth="1"/>
    <col min="11016" max="11016" width="11.5703125" style="51" customWidth="1"/>
    <col min="11017" max="11018" width="0" style="51" hidden="1" customWidth="1"/>
    <col min="11019" max="11264" width="9.140625" style="51"/>
    <col min="11265" max="11265" width="5.85546875" style="51" customWidth="1"/>
    <col min="11266" max="11266" width="57.28515625" style="51" customWidth="1"/>
    <col min="11267" max="11270" width="20.140625" style="51" customWidth="1"/>
    <col min="11271" max="11271" width="13" style="51" customWidth="1"/>
    <col min="11272" max="11272" width="11.5703125" style="51" customWidth="1"/>
    <col min="11273" max="11274" width="0" style="51" hidden="1" customWidth="1"/>
    <col min="11275" max="11520" width="9.140625" style="51"/>
    <col min="11521" max="11521" width="5.85546875" style="51" customWidth="1"/>
    <col min="11522" max="11522" width="57.28515625" style="51" customWidth="1"/>
    <col min="11523" max="11526" width="20.140625" style="51" customWidth="1"/>
    <col min="11527" max="11527" width="13" style="51" customWidth="1"/>
    <col min="11528" max="11528" width="11.5703125" style="51" customWidth="1"/>
    <col min="11529" max="11530" width="0" style="51" hidden="1" customWidth="1"/>
    <col min="11531" max="11776" width="9.140625" style="51"/>
    <col min="11777" max="11777" width="5.85546875" style="51" customWidth="1"/>
    <col min="11778" max="11778" width="57.28515625" style="51" customWidth="1"/>
    <col min="11779" max="11782" width="20.140625" style="51" customWidth="1"/>
    <col min="11783" max="11783" width="13" style="51" customWidth="1"/>
    <col min="11784" max="11784" width="11.5703125" style="51" customWidth="1"/>
    <col min="11785" max="11786" width="0" style="51" hidden="1" customWidth="1"/>
    <col min="11787" max="12032" width="9.140625" style="51"/>
    <col min="12033" max="12033" width="5.85546875" style="51" customWidth="1"/>
    <col min="12034" max="12034" width="57.28515625" style="51" customWidth="1"/>
    <col min="12035" max="12038" width="20.140625" style="51" customWidth="1"/>
    <col min="12039" max="12039" width="13" style="51" customWidth="1"/>
    <col min="12040" max="12040" width="11.5703125" style="51" customWidth="1"/>
    <col min="12041" max="12042" width="0" style="51" hidden="1" customWidth="1"/>
    <col min="12043" max="12288" width="9.140625" style="51"/>
    <col min="12289" max="12289" width="5.85546875" style="51" customWidth="1"/>
    <col min="12290" max="12290" width="57.28515625" style="51" customWidth="1"/>
    <col min="12291" max="12294" width="20.140625" style="51" customWidth="1"/>
    <col min="12295" max="12295" width="13" style="51" customWidth="1"/>
    <col min="12296" max="12296" width="11.5703125" style="51" customWidth="1"/>
    <col min="12297" max="12298" width="0" style="51" hidden="1" customWidth="1"/>
    <col min="12299" max="12544" width="9.140625" style="51"/>
    <col min="12545" max="12545" width="5.85546875" style="51" customWidth="1"/>
    <col min="12546" max="12546" width="57.28515625" style="51" customWidth="1"/>
    <col min="12547" max="12550" width="20.140625" style="51" customWidth="1"/>
    <col min="12551" max="12551" width="13" style="51" customWidth="1"/>
    <col min="12552" max="12552" width="11.5703125" style="51" customWidth="1"/>
    <col min="12553" max="12554" width="0" style="51" hidden="1" customWidth="1"/>
    <col min="12555" max="12800" width="9.140625" style="51"/>
    <col min="12801" max="12801" width="5.85546875" style="51" customWidth="1"/>
    <col min="12802" max="12802" width="57.28515625" style="51" customWidth="1"/>
    <col min="12803" max="12806" width="20.140625" style="51" customWidth="1"/>
    <col min="12807" max="12807" width="13" style="51" customWidth="1"/>
    <col min="12808" max="12808" width="11.5703125" style="51" customWidth="1"/>
    <col min="12809" max="12810" width="0" style="51" hidden="1" customWidth="1"/>
    <col min="12811" max="13056" width="9.140625" style="51"/>
    <col min="13057" max="13057" width="5.85546875" style="51" customWidth="1"/>
    <col min="13058" max="13058" width="57.28515625" style="51" customWidth="1"/>
    <col min="13059" max="13062" width="20.140625" style="51" customWidth="1"/>
    <col min="13063" max="13063" width="13" style="51" customWidth="1"/>
    <col min="13064" max="13064" width="11.5703125" style="51" customWidth="1"/>
    <col min="13065" max="13066" width="0" style="51" hidden="1" customWidth="1"/>
    <col min="13067" max="13312" width="9.140625" style="51"/>
    <col min="13313" max="13313" width="5.85546875" style="51" customWidth="1"/>
    <col min="13314" max="13314" width="57.28515625" style="51" customWidth="1"/>
    <col min="13315" max="13318" width="20.140625" style="51" customWidth="1"/>
    <col min="13319" max="13319" width="13" style="51" customWidth="1"/>
    <col min="13320" max="13320" width="11.5703125" style="51" customWidth="1"/>
    <col min="13321" max="13322" width="0" style="51" hidden="1" customWidth="1"/>
    <col min="13323" max="13568" width="9.140625" style="51"/>
    <col min="13569" max="13569" width="5.85546875" style="51" customWidth="1"/>
    <col min="13570" max="13570" width="57.28515625" style="51" customWidth="1"/>
    <col min="13571" max="13574" width="20.140625" style="51" customWidth="1"/>
    <col min="13575" max="13575" width="13" style="51" customWidth="1"/>
    <col min="13576" max="13576" width="11.5703125" style="51" customWidth="1"/>
    <col min="13577" max="13578" width="0" style="51" hidden="1" customWidth="1"/>
    <col min="13579" max="13824" width="9.140625" style="51"/>
    <col min="13825" max="13825" width="5.85546875" style="51" customWidth="1"/>
    <col min="13826" max="13826" width="57.28515625" style="51" customWidth="1"/>
    <col min="13827" max="13830" width="20.140625" style="51" customWidth="1"/>
    <col min="13831" max="13831" width="13" style="51" customWidth="1"/>
    <col min="13832" max="13832" width="11.5703125" style="51" customWidth="1"/>
    <col min="13833" max="13834" width="0" style="51" hidden="1" customWidth="1"/>
    <col min="13835" max="14080" width="9.140625" style="51"/>
    <col min="14081" max="14081" width="5.85546875" style="51" customWidth="1"/>
    <col min="14082" max="14082" width="57.28515625" style="51" customWidth="1"/>
    <col min="14083" max="14086" width="20.140625" style="51" customWidth="1"/>
    <col min="14087" max="14087" width="13" style="51" customWidth="1"/>
    <col min="14088" max="14088" width="11.5703125" style="51" customWidth="1"/>
    <col min="14089" max="14090" width="0" style="51" hidden="1" customWidth="1"/>
    <col min="14091" max="14336" width="9.140625" style="51"/>
    <col min="14337" max="14337" width="5.85546875" style="51" customWidth="1"/>
    <col min="14338" max="14338" width="57.28515625" style="51" customWidth="1"/>
    <col min="14339" max="14342" width="20.140625" style="51" customWidth="1"/>
    <col min="14343" max="14343" width="13" style="51" customWidth="1"/>
    <col min="14344" max="14344" width="11.5703125" style="51" customWidth="1"/>
    <col min="14345" max="14346" width="0" style="51" hidden="1" customWidth="1"/>
    <col min="14347" max="14592" width="9.140625" style="51"/>
    <col min="14593" max="14593" width="5.85546875" style="51" customWidth="1"/>
    <col min="14594" max="14594" width="57.28515625" style="51" customWidth="1"/>
    <col min="14595" max="14598" width="20.140625" style="51" customWidth="1"/>
    <col min="14599" max="14599" width="13" style="51" customWidth="1"/>
    <col min="14600" max="14600" width="11.5703125" style="51" customWidth="1"/>
    <col min="14601" max="14602" width="0" style="51" hidden="1" customWidth="1"/>
    <col min="14603" max="14848" width="9.140625" style="51"/>
    <col min="14849" max="14849" width="5.85546875" style="51" customWidth="1"/>
    <col min="14850" max="14850" width="57.28515625" style="51" customWidth="1"/>
    <col min="14851" max="14854" width="20.140625" style="51" customWidth="1"/>
    <col min="14855" max="14855" width="13" style="51" customWidth="1"/>
    <col min="14856" max="14856" width="11.5703125" style="51" customWidth="1"/>
    <col min="14857" max="14858" width="0" style="51" hidden="1" customWidth="1"/>
    <col min="14859" max="15104" width="9.140625" style="51"/>
    <col min="15105" max="15105" width="5.85546875" style="51" customWidth="1"/>
    <col min="15106" max="15106" width="57.28515625" style="51" customWidth="1"/>
    <col min="15107" max="15110" width="20.140625" style="51" customWidth="1"/>
    <col min="15111" max="15111" width="13" style="51" customWidth="1"/>
    <col min="15112" max="15112" width="11.5703125" style="51" customWidth="1"/>
    <col min="15113" max="15114" width="0" style="51" hidden="1" customWidth="1"/>
    <col min="15115" max="15360" width="9.140625" style="51"/>
    <col min="15361" max="15361" width="5.85546875" style="51" customWidth="1"/>
    <col min="15362" max="15362" width="57.28515625" style="51" customWidth="1"/>
    <col min="15363" max="15366" width="20.140625" style="51" customWidth="1"/>
    <col min="15367" max="15367" width="13" style="51" customWidth="1"/>
    <col min="15368" max="15368" width="11.5703125" style="51" customWidth="1"/>
    <col min="15369" max="15370" width="0" style="51" hidden="1" customWidth="1"/>
    <col min="15371" max="15616" width="9.140625" style="51"/>
    <col min="15617" max="15617" width="5.85546875" style="51" customWidth="1"/>
    <col min="15618" max="15618" width="57.28515625" style="51" customWidth="1"/>
    <col min="15619" max="15622" width="20.140625" style="51" customWidth="1"/>
    <col min="15623" max="15623" width="13" style="51" customWidth="1"/>
    <col min="15624" max="15624" width="11.5703125" style="51" customWidth="1"/>
    <col min="15625" max="15626" width="0" style="51" hidden="1" customWidth="1"/>
    <col min="15627" max="15872" width="9.140625" style="51"/>
    <col min="15873" max="15873" width="5.85546875" style="51" customWidth="1"/>
    <col min="15874" max="15874" width="57.28515625" style="51" customWidth="1"/>
    <col min="15875" max="15878" width="20.140625" style="51" customWidth="1"/>
    <col min="15879" max="15879" width="13" style="51" customWidth="1"/>
    <col min="15880" max="15880" width="11.5703125" style="51" customWidth="1"/>
    <col min="15881" max="15882" width="0" style="51" hidden="1" customWidth="1"/>
    <col min="15883" max="16128" width="9.140625" style="51"/>
    <col min="16129" max="16129" width="5.85546875" style="51" customWidth="1"/>
    <col min="16130" max="16130" width="57.28515625" style="51" customWidth="1"/>
    <col min="16131" max="16134" width="20.140625" style="51" customWidth="1"/>
    <col min="16135" max="16135" width="13" style="51" customWidth="1"/>
    <col min="16136" max="16136" width="11.5703125" style="51" customWidth="1"/>
    <col min="16137" max="16138" width="0" style="51" hidden="1" customWidth="1"/>
    <col min="16139" max="16384" width="9.140625" style="51"/>
  </cols>
  <sheetData>
    <row r="1" spans="1:12" ht="21" customHeight="1">
      <c r="A1" s="263" t="s">
        <v>223</v>
      </c>
      <c r="B1" s="48"/>
      <c r="C1" s="49"/>
      <c r="D1" s="49"/>
      <c r="E1" s="49"/>
      <c r="F1" s="49"/>
      <c r="G1" s="50"/>
    </row>
    <row r="2" spans="1:12" ht="18.75">
      <c r="A2" s="47"/>
      <c r="B2" s="47"/>
      <c r="C2" s="49"/>
      <c r="D2" s="49"/>
      <c r="E2" s="49"/>
      <c r="F2" s="49"/>
      <c r="G2" s="49"/>
      <c r="H2" s="49"/>
    </row>
    <row r="3" spans="1:12" ht="28.5" customHeight="1">
      <c r="A3" s="314" t="s">
        <v>294</v>
      </c>
      <c r="B3" s="314"/>
      <c r="C3" s="314"/>
      <c r="D3" s="314"/>
      <c r="E3" s="314"/>
      <c r="F3" s="314"/>
      <c r="G3" s="314"/>
      <c r="H3" s="314"/>
    </row>
    <row r="4" spans="1:12" ht="16.5" customHeight="1">
      <c r="A4" s="309" t="s">
        <v>2</v>
      </c>
      <c r="B4" s="309"/>
      <c r="C4" s="309"/>
      <c r="D4" s="309"/>
      <c r="E4" s="309"/>
      <c r="F4" s="309"/>
      <c r="G4" s="309"/>
      <c r="H4" s="309"/>
    </row>
    <row r="5" spans="1:12" ht="6.75" customHeight="1">
      <c r="A5" s="52"/>
      <c r="B5" s="52"/>
      <c r="C5" s="49"/>
      <c r="D5" s="49"/>
      <c r="E5" s="49"/>
      <c r="F5" s="49"/>
      <c r="G5" s="318" t="s">
        <v>3</v>
      </c>
      <c r="H5" s="318"/>
    </row>
    <row r="6" spans="1:12" ht="19.5" customHeight="1" thickBot="1">
      <c r="A6" s="53"/>
      <c r="B6" s="53"/>
      <c r="C6" s="54"/>
      <c r="D6" s="54"/>
      <c r="E6" s="54"/>
      <c r="F6" s="54"/>
      <c r="G6" s="319"/>
      <c r="H6" s="319"/>
    </row>
    <row r="7" spans="1:12" s="58" customFormat="1" ht="22.5" customHeight="1">
      <c r="A7" s="315" t="s">
        <v>182</v>
      </c>
      <c r="B7" s="316" t="s">
        <v>47</v>
      </c>
      <c r="C7" s="317" t="s">
        <v>6</v>
      </c>
      <c r="D7" s="317"/>
      <c r="E7" s="317" t="s">
        <v>7</v>
      </c>
      <c r="F7" s="317"/>
      <c r="G7" s="317" t="s">
        <v>8</v>
      </c>
      <c r="H7" s="317"/>
      <c r="I7" s="56"/>
      <c r="J7" s="57"/>
      <c r="L7" s="59" t="s">
        <v>6</v>
      </c>
    </row>
    <row r="8" spans="1:12" s="58" customFormat="1" ht="44.25" customHeight="1">
      <c r="A8" s="315"/>
      <c r="B8" s="316"/>
      <c r="C8" s="60" t="s">
        <v>224</v>
      </c>
      <c r="D8" s="60" t="s">
        <v>299</v>
      </c>
      <c r="E8" s="60" t="s">
        <v>224</v>
      </c>
      <c r="F8" s="107" t="s">
        <v>299</v>
      </c>
      <c r="G8" s="60" t="s">
        <v>224</v>
      </c>
      <c r="H8" s="107" t="s">
        <v>299</v>
      </c>
      <c r="I8" s="61" t="s">
        <v>225</v>
      </c>
      <c r="J8" s="62" t="s">
        <v>225</v>
      </c>
    </row>
    <row r="9" spans="1:12" s="67" customFormat="1" ht="17.25" customHeight="1">
      <c r="A9" s="63" t="s">
        <v>9</v>
      </c>
      <c r="B9" s="63" t="s">
        <v>26</v>
      </c>
      <c r="C9" s="63">
        <v>1</v>
      </c>
      <c r="D9" s="63">
        <f>C9+1</f>
        <v>2</v>
      </c>
      <c r="E9" s="63">
        <f>D9+1</f>
        <v>3</v>
      </c>
      <c r="F9" s="63">
        <f>E9+1</f>
        <v>4</v>
      </c>
      <c r="G9" s="64" t="s">
        <v>226</v>
      </c>
      <c r="H9" s="64" t="s">
        <v>227</v>
      </c>
      <c r="I9" s="65"/>
      <c r="J9" s="66"/>
    </row>
    <row r="10" spans="1:12" s="54" customFormat="1" ht="18.75">
      <c r="A10" s="14"/>
      <c r="B10" s="68" t="s">
        <v>228</v>
      </c>
      <c r="C10" s="69">
        <f>C11+C61+C62+C63</f>
        <v>23160000000</v>
      </c>
      <c r="D10" s="69">
        <f>D11+D61+D62+D63</f>
        <v>15841000000</v>
      </c>
      <c r="E10" s="69">
        <f>E11+E61+E62+E63</f>
        <v>91868434488</v>
      </c>
      <c r="F10" s="69">
        <f>F11+F61+F62+F63</f>
        <v>77178677162</v>
      </c>
      <c r="G10" s="111">
        <f t="shared" ref="G10:H14" si="0">E10/C10</f>
        <v>3.966685426943005</v>
      </c>
      <c r="H10" s="111">
        <f t="shared" si="0"/>
        <v>4.8720836539359889</v>
      </c>
      <c r="I10" s="70" t="e">
        <f>SUM(I12,#REF!,#REF!,#REF!,#REF!,#REF!)</f>
        <v>#REF!</v>
      </c>
      <c r="J10" s="71" t="e">
        <f>SUM(J12,#REF!,#REF!,#REF!,#REF!,#REF!)</f>
        <v>#REF!</v>
      </c>
    </row>
    <row r="11" spans="1:12" s="54" customFormat="1" ht="18.75">
      <c r="A11" s="19" t="s">
        <v>9</v>
      </c>
      <c r="B11" s="20" t="s">
        <v>229</v>
      </c>
      <c r="C11" s="72">
        <f>C12+C52+C53+C60</f>
        <v>23160000000</v>
      </c>
      <c r="D11" s="72">
        <f>D12+D52+D53+D60</f>
        <v>15841000000</v>
      </c>
      <c r="E11" s="72">
        <f>E12+E52+E53+E60</f>
        <v>37076485936</v>
      </c>
      <c r="F11" s="72">
        <f>F12+F52+F53+F60</f>
        <v>22386728610</v>
      </c>
      <c r="G11" s="112">
        <f t="shared" si="0"/>
        <v>1.6008845395509499</v>
      </c>
      <c r="H11" s="112">
        <f t="shared" si="0"/>
        <v>1.4132143557856196</v>
      </c>
      <c r="I11" s="70" t="e">
        <f>SUM(I13,#REF!,#REF!,#REF!,#REF!,#REF!)</f>
        <v>#REF!</v>
      </c>
      <c r="J11" s="71" t="e">
        <f>SUM(J13,#REF!,#REF!,#REF!,#REF!,#REF!)</f>
        <v>#REF!</v>
      </c>
    </row>
    <row r="12" spans="1:12" s="54" customFormat="1" ht="18.75">
      <c r="A12" s="19" t="s">
        <v>11</v>
      </c>
      <c r="B12" s="20" t="s">
        <v>230</v>
      </c>
      <c r="C12" s="72">
        <f t="shared" ref="C12:D12" si="1">C13+C16+C20+C23+C28+C29+C30+C31+C36+C37+C38+C39+C40+C41+C42+C43</f>
        <v>23160000000</v>
      </c>
      <c r="D12" s="72">
        <f t="shared" si="1"/>
        <v>15841000000</v>
      </c>
      <c r="E12" s="72">
        <f>E13+E16+E20+E23+E28+E29+E30+E31+E36+E37+E38+E39+E40+E41+E42+E43</f>
        <v>37076485936</v>
      </c>
      <c r="F12" s="72">
        <f>F13+F16+F20+F23+F28+F29+F30+F31+F36+F37+F38+F39+F40+F41+F42+F43</f>
        <v>22386728610</v>
      </c>
      <c r="G12" s="112">
        <f t="shared" si="0"/>
        <v>1.6008845395509499</v>
      </c>
      <c r="H12" s="112">
        <f t="shared" si="0"/>
        <v>1.4132143557856196</v>
      </c>
      <c r="I12" s="73" t="e">
        <f>SUM(I13,#REF!,#REF!,#REF!,#REF!,#REF!,#REF!,#REF!,#REF!,#REF!,#REF!,#REF!,#REF!,#REF!,#REF!,#REF!)</f>
        <v>#REF!</v>
      </c>
      <c r="J12" s="74" t="e">
        <f>SUM(J13,#REF!,#REF!,#REF!,#REF!,#REF!,#REF!,#REF!,#REF!,#REF!,#REF!,#REF!,#REF!,#REF!,#REF!,#REF!)</f>
        <v>#REF!</v>
      </c>
    </row>
    <row r="13" spans="1:12" s="54" customFormat="1" ht="18.75">
      <c r="A13" s="25">
        <v>1</v>
      </c>
      <c r="B13" s="22" t="s">
        <v>231</v>
      </c>
      <c r="C13" s="75">
        <f>SUM(C14:C15)</f>
        <v>150000000</v>
      </c>
      <c r="D13" s="75">
        <f>SUM(D14:D15)</f>
        <v>15000000</v>
      </c>
      <c r="E13" s="75">
        <f>SUM(E14:E15)</f>
        <v>207114989</v>
      </c>
      <c r="F13" s="75">
        <f>SUM(F14:F15)</f>
        <v>20711500</v>
      </c>
      <c r="G13" s="115">
        <f t="shared" si="0"/>
        <v>1.3807665933333333</v>
      </c>
      <c r="H13" s="115">
        <f t="shared" si="0"/>
        <v>1.3807666666666667</v>
      </c>
      <c r="I13" s="73" t="e">
        <f>SUM(I14,I20,I30,I31,I32,I33,I37,I38,#REF!)</f>
        <v>#REF!</v>
      </c>
      <c r="J13" s="74" t="e">
        <f>SUM(J14,J20,J30,J31,J32,J33,J37,J38,#REF!)</f>
        <v>#REF!</v>
      </c>
    </row>
    <row r="14" spans="1:12" s="55" customFormat="1" ht="18.75">
      <c r="A14" s="76" t="s">
        <v>15</v>
      </c>
      <c r="B14" s="77" t="s">
        <v>232</v>
      </c>
      <c r="C14" s="78">
        <v>150000000</v>
      </c>
      <c r="D14" s="78">
        <v>15000000</v>
      </c>
      <c r="E14" s="78">
        <v>206085989</v>
      </c>
      <c r="F14" s="78">
        <v>20608600</v>
      </c>
      <c r="G14" s="113">
        <f t="shared" si="0"/>
        <v>1.3739065933333334</v>
      </c>
      <c r="H14" s="113">
        <f t="shared" si="0"/>
        <v>1.3739066666666666</v>
      </c>
      <c r="I14" s="79" t="e">
        <f>#REF!-#REF!</f>
        <v>#REF!</v>
      </c>
      <c r="J14" s="80" t="e">
        <f>#REF!-#REF!</f>
        <v>#REF!</v>
      </c>
    </row>
    <row r="15" spans="1:12" s="55" customFormat="1" ht="18.75">
      <c r="A15" s="76" t="s">
        <v>15</v>
      </c>
      <c r="B15" s="77" t="s">
        <v>233</v>
      </c>
      <c r="C15" s="78"/>
      <c r="D15" s="78"/>
      <c r="E15" s="78">
        <v>1029000</v>
      </c>
      <c r="F15" s="78">
        <v>102900</v>
      </c>
      <c r="G15" s="113"/>
      <c r="H15" s="113"/>
      <c r="I15" s="79"/>
      <c r="J15" s="80"/>
    </row>
    <row r="16" spans="1:12" s="54" customFormat="1" ht="18.75">
      <c r="A16" s="21" t="s">
        <v>21</v>
      </c>
      <c r="B16" s="22" t="s">
        <v>234</v>
      </c>
      <c r="C16" s="75">
        <f>SUM(C17:C19)</f>
        <v>470000000</v>
      </c>
      <c r="D16" s="75">
        <f>SUM(D17:D19)</f>
        <v>42000000</v>
      </c>
      <c r="E16" s="75">
        <f>SUM(E17:E19)</f>
        <v>4209080220</v>
      </c>
      <c r="F16" s="75">
        <f>SUM(F17:F19)</f>
        <v>372467826</v>
      </c>
      <c r="G16" s="114">
        <f t="shared" ref="G16:H19" si="2">E16/C16</f>
        <v>8.9554898297872345</v>
      </c>
      <c r="H16" s="114">
        <f t="shared" si="2"/>
        <v>8.8682815714285717</v>
      </c>
      <c r="I16" s="81" t="e">
        <f>#REF!-#REF!</f>
        <v>#REF!</v>
      </c>
      <c r="J16" s="82" t="e">
        <f>#REF!-#REF!</f>
        <v>#REF!</v>
      </c>
    </row>
    <row r="17" spans="1:10" s="55" customFormat="1" ht="18.75">
      <c r="A17" s="76" t="s">
        <v>15</v>
      </c>
      <c r="B17" s="77" t="s">
        <v>232</v>
      </c>
      <c r="C17" s="78">
        <v>30000000</v>
      </c>
      <c r="D17" s="78">
        <v>3000000</v>
      </c>
      <c r="E17" s="78">
        <v>23831898</v>
      </c>
      <c r="F17" s="78">
        <v>2383192</v>
      </c>
      <c r="G17" s="113">
        <f t="shared" si="2"/>
        <v>0.79439660000000001</v>
      </c>
      <c r="H17" s="113">
        <f t="shared" si="2"/>
        <v>0.79439733333333329</v>
      </c>
      <c r="I17" s="79" t="e">
        <f>#REF!-#REF!</f>
        <v>#REF!</v>
      </c>
      <c r="J17" s="80" t="e">
        <f>#REF!-#REF!</f>
        <v>#REF!</v>
      </c>
    </row>
    <row r="18" spans="1:10" s="55" customFormat="1" ht="18.75">
      <c r="A18" s="76" t="s">
        <v>15</v>
      </c>
      <c r="B18" s="77" t="s">
        <v>233</v>
      </c>
      <c r="C18" s="78">
        <v>190000000</v>
      </c>
      <c r="D18" s="78">
        <v>19000000</v>
      </c>
      <c r="E18" s="78">
        <v>3691580016</v>
      </c>
      <c r="F18" s="78">
        <v>369158005</v>
      </c>
      <c r="G18" s="113">
        <f t="shared" si="2"/>
        <v>19.42936850526316</v>
      </c>
      <c r="H18" s="113">
        <f t="shared" si="2"/>
        <v>19.429368684210527</v>
      </c>
      <c r="I18" s="79"/>
      <c r="J18" s="80"/>
    </row>
    <row r="19" spans="1:10" s="55" customFormat="1" ht="18.75">
      <c r="A19" s="76" t="s">
        <v>15</v>
      </c>
      <c r="B19" s="77" t="s">
        <v>235</v>
      </c>
      <c r="C19" s="78">
        <v>250000000</v>
      </c>
      <c r="D19" s="78">
        <v>20000000</v>
      </c>
      <c r="E19" s="78">
        <v>493668306</v>
      </c>
      <c r="F19" s="78">
        <v>926629</v>
      </c>
      <c r="G19" s="113">
        <f t="shared" si="2"/>
        <v>1.974673224</v>
      </c>
      <c r="H19" s="113">
        <f t="shared" si="2"/>
        <v>4.6331450000000003E-2</v>
      </c>
      <c r="I19" s="79"/>
      <c r="J19" s="80"/>
    </row>
    <row r="20" spans="1:10" s="54" customFormat="1" ht="37.5">
      <c r="A20" s="21" t="s">
        <v>30</v>
      </c>
      <c r="B20" s="22" t="s">
        <v>236</v>
      </c>
      <c r="C20" s="75">
        <f>SUM(C21:C22)</f>
        <v>0</v>
      </c>
      <c r="D20" s="75">
        <f>SUM(D21:D22)</f>
        <v>0</v>
      </c>
      <c r="E20" s="75">
        <f>SUM(E21:E22)</f>
        <v>0</v>
      </c>
      <c r="F20" s="75">
        <f>SUM(F21:F22)</f>
        <v>0</v>
      </c>
      <c r="G20" s="114"/>
      <c r="H20" s="114"/>
      <c r="I20" s="81" t="e">
        <f>#REF!-#REF!</f>
        <v>#REF!</v>
      </c>
      <c r="J20" s="82" t="e">
        <f>#REF!-#REF!</f>
        <v>#REF!</v>
      </c>
    </row>
    <row r="21" spans="1:10" s="55" customFormat="1" ht="18.75">
      <c r="A21" s="76" t="s">
        <v>15</v>
      </c>
      <c r="B21" s="77" t="s">
        <v>232</v>
      </c>
      <c r="C21" s="78"/>
      <c r="D21" s="78"/>
      <c r="E21" s="78"/>
      <c r="F21" s="78"/>
      <c r="G21" s="113"/>
      <c r="H21" s="113"/>
      <c r="I21" s="79"/>
      <c r="J21" s="80"/>
    </row>
    <row r="22" spans="1:10" s="55" customFormat="1" ht="18.75">
      <c r="A22" s="76" t="s">
        <v>15</v>
      </c>
      <c r="B22" s="77" t="s">
        <v>233</v>
      </c>
      <c r="C22" s="78"/>
      <c r="D22" s="78"/>
      <c r="E22" s="78"/>
      <c r="F22" s="78"/>
      <c r="G22" s="113"/>
      <c r="H22" s="113"/>
      <c r="I22" s="79"/>
      <c r="J22" s="80"/>
    </row>
    <row r="23" spans="1:10" s="54" customFormat="1" ht="18.75">
      <c r="A23" s="21" t="s">
        <v>31</v>
      </c>
      <c r="B23" s="22" t="s">
        <v>237</v>
      </c>
      <c r="C23" s="75">
        <f>SUM(C24:C27)</f>
        <v>8570000000</v>
      </c>
      <c r="D23" s="75">
        <f>SUM(D24:D27)</f>
        <v>7673000000</v>
      </c>
      <c r="E23" s="75">
        <f>SUM(E24:E27)</f>
        <v>10645851642</v>
      </c>
      <c r="F23" s="75">
        <f>SUM(F24:F27)</f>
        <v>9338132250</v>
      </c>
      <c r="G23" s="114">
        <f>E23/C23</f>
        <v>1.2422230620770129</v>
      </c>
      <c r="H23" s="114">
        <f>F23/D23</f>
        <v>1.2170118923497979</v>
      </c>
      <c r="I23" s="81" t="e">
        <f>#REF!-#REF!</f>
        <v>#REF!</v>
      </c>
      <c r="J23" s="82" t="e">
        <f>#REF!-#REF!</f>
        <v>#REF!</v>
      </c>
    </row>
    <row r="24" spans="1:10" s="55" customFormat="1" ht="18.75">
      <c r="A24" s="76" t="s">
        <v>15</v>
      </c>
      <c r="B24" s="77" t="s">
        <v>232</v>
      </c>
      <c r="C24" s="78">
        <v>6850000000</v>
      </c>
      <c r="D24" s="78">
        <v>6165000000</v>
      </c>
      <c r="E24" s="78">
        <v>7991694491</v>
      </c>
      <c r="F24" s="78">
        <v>7192525130</v>
      </c>
      <c r="G24" s="113">
        <f>E24/C24</f>
        <v>1.1666707286131386</v>
      </c>
      <c r="H24" s="113">
        <f>F24/D24</f>
        <v>1.1666707429034875</v>
      </c>
      <c r="I24" s="79" t="e">
        <f>#REF!-#REF!</f>
        <v>#REF!</v>
      </c>
      <c r="J24" s="80" t="e">
        <f>#REF!-#REF!</f>
        <v>#REF!</v>
      </c>
    </row>
    <row r="25" spans="1:10" s="55" customFormat="1" ht="18.75">
      <c r="A25" s="76" t="s">
        <v>15</v>
      </c>
      <c r="B25" s="77" t="s">
        <v>233</v>
      </c>
      <c r="C25" s="78">
        <v>320000000</v>
      </c>
      <c r="D25" s="78">
        <v>288000000</v>
      </c>
      <c r="E25" s="78">
        <v>349454861</v>
      </c>
      <c r="F25" s="78">
        <v>314509405</v>
      </c>
      <c r="G25" s="113">
        <f t="shared" ref="G25:G27" si="3">E25/C25</f>
        <v>1.0920464406249999</v>
      </c>
      <c r="H25" s="113">
        <f t="shared" ref="H25:H27" si="4">F25/D25</f>
        <v>1.092046545138889</v>
      </c>
      <c r="I25" s="79"/>
      <c r="J25" s="80"/>
    </row>
    <row r="26" spans="1:10" s="55" customFormat="1" ht="18.75">
      <c r="A26" s="76" t="s">
        <v>15</v>
      </c>
      <c r="B26" s="77" t="s">
        <v>238</v>
      </c>
      <c r="C26" s="78">
        <v>70000000</v>
      </c>
      <c r="D26" s="78">
        <v>70000000</v>
      </c>
      <c r="E26" s="78">
        <v>60599445</v>
      </c>
      <c r="F26" s="78">
        <v>60599445</v>
      </c>
      <c r="G26" s="113">
        <f t="shared" si="3"/>
        <v>0.86570635714285715</v>
      </c>
      <c r="H26" s="113">
        <f t="shared" si="4"/>
        <v>0.86570635714285715</v>
      </c>
      <c r="I26" s="79"/>
      <c r="J26" s="80"/>
    </row>
    <row r="27" spans="1:10" s="55" customFormat="1" ht="18.75">
      <c r="A27" s="76" t="s">
        <v>15</v>
      </c>
      <c r="B27" s="77" t="s">
        <v>235</v>
      </c>
      <c r="C27" s="78">
        <v>1330000000</v>
      </c>
      <c r="D27" s="78">
        <v>1150000000</v>
      </c>
      <c r="E27" s="78">
        <v>2244102845</v>
      </c>
      <c r="F27" s="78">
        <v>1770498270</v>
      </c>
      <c r="G27" s="113">
        <f t="shared" si="3"/>
        <v>1.6872953721804511</v>
      </c>
      <c r="H27" s="113">
        <f t="shared" si="4"/>
        <v>1.5395637130434783</v>
      </c>
      <c r="I27" s="79"/>
      <c r="J27" s="80"/>
    </row>
    <row r="28" spans="1:10" s="54" customFormat="1" ht="18.75">
      <c r="A28" s="21" t="s">
        <v>32</v>
      </c>
      <c r="B28" s="22" t="s">
        <v>239</v>
      </c>
      <c r="C28" s="75">
        <v>1520000000</v>
      </c>
      <c r="D28" s="75">
        <v>1368000000</v>
      </c>
      <c r="E28" s="75">
        <v>1805304817</v>
      </c>
      <c r="F28" s="75">
        <v>1624774436</v>
      </c>
      <c r="G28" s="114">
        <f>E28/C28</f>
        <v>1.1877005375</v>
      </c>
      <c r="H28" s="114">
        <f>F28/D28</f>
        <v>1.187700611111111</v>
      </c>
      <c r="I28" s="81" t="e">
        <f>#REF!-#REF!</f>
        <v>#REF!</v>
      </c>
      <c r="J28" s="82" t="e">
        <f>#REF!-#REF!</f>
        <v>#REF!</v>
      </c>
    </row>
    <row r="29" spans="1:10" s="54" customFormat="1" ht="18.75">
      <c r="A29" s="21" t="s">
        <v>33</v>
      </c>
      <c r="B29" s="22" t="s">
        <v>240</v>
      </c>
      <c r="C29" s="75">
        <v>4800000000</v>
      </c>
      <c r="D29" s="75"/>
      <c r="E29" s="75">
        <v>5922349550</v>
      </c>
      <c r="F29" s="75"/>
      <c r="G29" s="114">
        <f>E29/C29</f>
        <v>1.2338228229166666</v>
      </c>
      <c r="H29" s="114"/>
      <c r="I29" s="81"/>
      <c r="J29" s="82"/>
    </row>
    <row r="30" spans="1:10" s="54" customFormat="1" ht="18.75">
      <c r="A30" s="21" t="s">
        <v>34</v>
      </c>
      <c r="B30" s="22" t="s">
        <v>241</v>
      </c>
      <c r="C30" s="75">
        <v>1700000000</v>
      </c>
      <c r="D30" s="75">
        <v>1700000000</v>
      </c>
      <c r="E30" s="75">
        <v>2141425474</v>
      </c>
      <c r="F30" s="75">
        <v>2141425474</v>
      </c>
      <c r="G30" s="114">
        <f>E30/C30</f>
        <v>1.2596620435294117</v>
      </c>
      <c r="H30" s="114">
        <f>F30/D30</f>
        <v>1.2596620435294117</v>
      </c>
      <c r="I30" s="81" t="e">
        <f>#REF!-#REF!</f>
        <v>#REF!</v>
      </c>
      <c r="J30" s="82" t="e">
        <f>#REF!-#REF!</f>
        <v>#REF!</v>
      </c>
    </row>
    <row r="31" spans="1:10" s="54" customFormat="1" ht="18.75">
      <c r="A31" s="21" t="s">
        <v>35</v>
      </c>
      <c r="B31" s="22" t="s">
        <v>242</v>
      </c>
      <c r="C31" s="75">
        <f>SUM(C32:C35)</f>
        <v>1135000000</v>
      </c>
      <c r="D31" s="75">
        <f>SUM(D32:D35)</f>
        <v>1061000000</v>
      </c>
      <c r="E31" s="75">
        <f>SUM(E32:E35)</f>
        <v>863344021</v>
      </c>
      <c r="F31" s="75">
        <f>SUM(F32:F35)</f>
        <v>829864130</v>
      </c>
      <c r="G31" s="114">
        <f>E31/C31</f>
        <v>0.76065552511013212</v>
      </c>
      <c r="H31" s="114">
        <f>F31/D31</f>
        <v>0.78215280867106507</v>
      </c>
      <c r="I31" s="81" t="e">
        <f>#REF!-#REF!</f>
        <v>#REF!</v>
      </c>
      <c r="J31" s="82" t="e">
        <f>#REF!-#REF!</f>
        <v>#REF!</v>
      </c>
    </row>
    <row r="32" spans="1:10" s="54" customFormat="1" ht="18.75">
      <c r="A32" s="21" t="s">
        <v>15</v>
      </c>
      <c r="B32" s="83" t="s">
        <v>243</v>
      </c>
      <c r="C32" s="78">
        <v>70000000</v>
      </c>
      <c r="D32" s="78"/>
      <c r="E32" s="78">
        <v>35479891</v>
      </c>
      <c r="F32" s="78">
        <v>2000000</v>
      </c>
      <c r="G32" s="113">
        <f>E32/C32</f>
        <v>0.50685558571428568</v>
      </c>
      <c r="H32" s="113"/>
      <c r="I32" s="81" t="e">
        <f>#REF!-#REF!</f>
        <v>#REF!</v>
      </c>
      <c r="J32" s="82" t="e">
        <f>#REF!-#REF!</f>
        <v>#REF!</v>
      </c>
    </row>
    <row r="33" spans="1:10" s="54" customFormat="1" ht="18.75">
      <c r="A33" s="21" t="s">
        <v>15</v>
      </c>
      <c r="B33" s="83" t="s">
        <v>244</v>
      </c>
      <c r="C33" s="84">
        <v>200000000</v>
      </c>
      <c r="D33" s="78">
        <f>200000000-4000000</f>
        <v>196000000</v>
      </c>
      <c r="E33" s="78">
        <v>138859292</v>
      </c>
      <c r="F33" s="106">
        <v>138859292</v>
      </c>
      <c r="G33" s="113">
        <f>E33/C33</f>
        <v>0.69429646</v>
      </c>
      <c r="H33" s="113">
        <f>F33/D33</f>
        <v>0.70846577551020407</v>
      </c>
      <c r="I33" s="81" t="e">
        <f>#REF!-#REF!</f>
        <v>#REF!</v>
      </c>
      <c r="J33" s="82" t="e">
        <f>#REF!-#REF!</f>
        <v>#REF!</v>
      </c>
    </row>
    <row r="34" spans="1:10" s="54" customFormat="1" ht="18.75">
      <c r="A34" s="21" t="s">
        <v>15</v>
      </c>
      <c r="B34" s="83" t="s">
        <v>245</v>
      </c>
      <c r="C34" s="78">
        <v>600000000</v>
      </c>
      <c r="D34" s="78">
        <v>600000000</v>
      </c>
      <c r="E34" s="106">
        <v>557473338</v>
      </c>
      <c r="F34" s="78">
        <f>E34</f>
        <v>557473338</v>
      </c>
      <c r="G34" s="113">
        <f t="shared" ref="G34:G35" si="5">E34/C34</f>
        <v>0.92912223000000005</v>
      </c>
      <c r="H34" s="113">
        <f t="shared" ref="H34:H35" si="6">F34/D34</f>
        <v>0.92912223000000005</v>
      </c>
      <c r="I34" s="81" t="e">
        <f>#REF!-#REF!</f>
        <v>#REF!</v>
      </c>
      <c r="J34" s="82" t="e">
        <f>#REF!-#REF!</f>
        <v>#REF!</v>
      </c>
    </row>
    <row r="35" spans="1:10" s="54" customFormat="1" ht="18.75">
      <c r="A35" s="21" t="s">
        <v>15</v>
      </c>
      <c r="B35" s="83" t="s">
        <v>246</v>
      </c>
      <c r="C35" s="78">
        <v>265000000</v>
      </c>
      <c r="D35" s="78">
        <v>265000000</v>
      </c>
      <c r="E35" s="110">
        <v>131531500</v>
      </c>
      <c r="F35" s="78">
        <f>E35</f>
        <v>131531500</v>
      </c>
      <c r="G35" s="113">
        <f t="shared" si="5"/>
        <v>0.49634528301886793</v>
      </c>
      <c r="H35" s="113">
        <f t="shared" si="6"/>
        <v>0.49634528301886793</v>
      </c>
      <c r="I35" s="81" t="e">
        <f>#REF!-#REF!</f>
        <v>#REF!</v>
      </c>
      <c r="J35" s="82" t="e">
        <f>#REF!-#REF!</f>
        <v>#REF!</v>
      </c>
    </row>
    <row r="36" spans="1:10" s="54" customFormat="1" ht="18.75">
      <c r="A36" s="21" t="s">
        <v>36</v>
      </c>
      <c r="B36" s="22" t="s">
        <v>295</v>
      </c>
      <c r="C36" s="75"/>
      <c r="D36" s="75"/>
      <c r="E36" s="89">
        <v>7325231</v>
      </c>
      <c r="F36" s="75">
        <v>7325231</v>
      </c>
      <c r="G36" s="114"/>
      <c r="H36" s="114"/>
      <c r="I36" s="81" t="e">
        <f>#REF!-#REF!</f>
        <v>#REF!</v>
      </c>
      <c r="J36" s="82" t="e">
        <f>#REF!-#REF!</f>
        <v>#REF!</v>
      </c>
    </row>
    <row r="37" spans="1:10" s="54" customFormat="1" ht="18.75">
      <c r="A37" s="21" t="s">
        <v>37</v>
      </c>
      <c r="B37" s="22" t="s">
        <v>247</v>
      </c>
      <c r="C37" s="75">
        <v>20000000</v>
      </c>
      <c r="D37" s="75">
        <v>20000000</v>
      </c>
      <c r="E37" s="75">
        <v>21584618</v>
      </c>
      <c r="F37" s="75">
        <v>21584618</v>
      </c>
      <c r="G37" s="114">
        <f>E37/C37</f>
        <v>1.0792309</v>
      </c>
      <c r="H37" s="114">
        <f>F37/D37</f>
        <v>1.0792309</v>
      </c>
      <c r="I37" s="81" t="e">
        <f>#REF!-#REF!</f>
        <v>#REF!</v>
      </c>
      <c r="J37" s="82" t="e">
        <f>#REF!-#REF!</f>
        <v>#REF!</v>
      </c>
    </row>
    <row r="38" spans="1:10" s="54" customFormat="1" ht="18.75">
      <c r="A38" s="21" t="s">
        <v>38</v>
      </c>
      <c r="B38" s="22" t="s">
        <v>248</v>
      </c>
      <c r="C38" s="75">
        <v>90000000</v>
      </c>
      <c r="D38" s="75">
        <v>72000000</v>
      </c>
      <c r="E38" s="75">
        <v>349918346</v>
      </c>
      <c r="F38" s="75">
        <v>279934681</v>
      </c>
      <c r="G38" s="114">
        <f>E38/C38</f>
        <v>3.8879816222222221</v>
      </c>
      <c r="H38" s="114">
        <f>F38/D38</f>
        <v>3.8879816805555554</v>
      </c>
      <c r="I38" s="81" t="e">
        <f>#REF!-#REF!</f>
        <v>#REF!</v>
      </c>
      <c r="J38" s="82" t="e">
        <f>#REF!-#REF!</f>
        <v>#REF!</v>
      </c>
    </row>
    <row r="39" spans="1:10" s="54" customFormat="1" ht="18.75">
      <c r="A39" s="21" t="s">
        <v>39</v>
      </c>
      <c r="B39" s="22" t="s">
        <v>249</v>
      </c>
      <c r="C39" s="75">
        <v>2000000000</v>
      </c>
      <c r="D39" s="75">
        <v>1760000000</v>
      </c>
      <c r="E39" s="75">
        <v>7058076900</v>
      </c>
      <c r="F39" s="75">
        <v>6211107672</v>
      </c>
      <c r="G39" s="114">
        <f t="shared" ref="G39:G40" si="7">E39/C39</f>
        <v>3.5290384499999998</v>
      </c>
      <c r="H39" s="114">
        <f t="shared" ref="H39:H40" si="8">F39/D39</f>
        <v>3.5290384499999998</v>
      </c>
      <c r="I39" s="81" t="e">
        <f>#REF!-#REF!</f>
        <v>#REF!</v>
      </c>
      <c r="J39" s="82" t="e">
        <f>#REF!-#REF!</f>
        <v>#REF!</v>
      </c>
    </row>
    <row r="40" spans="1:10" s="54" customFormat="1" ht="18.75">
      <c r="A40" s="21" t="s">
        <v>40</v>
      </c>
      <c r="B40" s="22" t="s">
        <v>250</v>
      </c>
      <c r="C40" s="75">
        <v>90000000</v>
      </c>
      <c r="D40" s="75">
        <v>90000000</v>
      </c>
      <c r="E40" s="75">
        <v>1698262169</v>
      </c>
      <c r="F40" s="75">
        <v>891369169</v>
      </c>
      <c r="G40" s="114">
        <f t="shared" si="7"/>
        <v>18.869579655555555</v>
      </c>
      <c r="H40" s="114">
        <f t="shared" si="8"/>
        <v>9.9041018777777783</v>
      </c>
      <c r="I40" s="81"/>
      <c r="J40" s="85"/>
    </row>
    <row r="41" spans="1:10" s="54" customFormat="1" ht="18.75">
      <c r="A41" s="21" t="s">
        <v>41</v>
      </c>
      <c r="B41" s="22" t="s">
        <v>298</v>
      </c>
      <c r="C41" s="75"/>
      <c r="D41" s="75"/>
      <c r="E41" s="75">
        <v>25293000</v>
      </c>
      <c r="F41" s="75">
        <v>25293000</v>
      </c>
      <c r="G41" s="114"/>
      <c r="H41" s="114"/>
      <c r="I41" s="81"/>
      <c r="J41" s="85"/>
    </row>
    <row r="42" spans="1:10" s="54" customFormat="1" ht="18.75">
      <c r="A42" s="21" t="s">
        <v>42</v>
      </c>
      <c r="B42" s="22" t="s">
        <v>298</v>
      </c>
      <c r="C42" s="75"/>
      <c r="D42" s="75"/>
      <c r="E42" s="75">
        <v>194431000</v>
      </c>
      <c r="F42" s="75"/>
      <c r="G42" s="114"/>
      <c r="H42" s="114"/>
      <c r="I42" s="81"/>
      <c r="J42" s="85"/>
    </row>
    <row r="43" spans="1:10" s="54" customFormat="1" ht="18.75">
      <c r="A43" s="21" t="s">
        <v>43</v>
      </c>
      <c r="B43" s="22" t="s">
        <v>251</v>
      </c>
      <c r="C43" s="75">
        <f>C44+C51</f>
        <v>2615000000</v>
      </c>
      <c r="D43" s="75">
        <f>D44+D51</f>
        <v>2040000000</v>
      </c>
      <c r="E43" s="75">
        <v>1927123959</v>
      </c>
      <c r="F43" s="75">
        <v>622738623</v>
      </c>
      <c r="G43" s="114">
        <f>E43/C43</f>
        <v>0.7369498887189293</v>
      </c>
      <c r="H43" s="114">
        <f>F43/D43</f>
        <v>0.30526403088235293</v>
      </c>
      <c r="I43" s="81" t="e">
        <f>#REF!-#REF!</f>
        <v>#REF!</v>
      </c>
      <c r="J43" s="82" t="e">
        <f>#REF!-#REF!</f>
        <v>#REF!</v>
      </c>
    </row>
    <row r="44" spans="1:10" s="55" customFormat="1" ht="18.75">
      <c r="A44" s="76" t="s">
        <v>15</v>
      </c>
      <c r="B44" s="83" t="s">
        <v>252</v>
      </c>
      <c r="C44" s="78">
        <f>C46+C47</f>
        <v>1575000000</v>
      </c>
      <c r="D44" s="78">
        <f>D46+D47</f>
        <v>1015000000</v>
      </c>
      <c r="E44" s="78">
        <v>1061407601</v>
      </c>
      <c r="F44" s="78">
        <v>196860000</v>
      </c>
      <c r="G44" s="113">
        <f>E44/C44</f>
        <v>0.6739095879365079</v>
      </c>
      <c r="H44" s="113">
        <f>F44/D44</f>
        <v>0.19395073891625617</v>
      </c>
      <c r="I44" s="79"/>
      <c r="J44" s="80"/>
    </row>
    <row r="45" spans="1:10" s="55" customFormat="1" ht="18.75">
      <c r="A45" s="76"/>
      <c r="B45" s="83" t="s">
        <v>253</v>
      </c>
      <c r="C45" s="78"/>
      <c r="D45" s="78"/>
      <c r="E45" s="78"/>
      <c r="F45" s="78"/>
      <c r="G45" s="113"/>
      <c r="H45" s="113"/>
      <c r="I45" s="79"/>
      <c r="J45" s="80"/>
    </row>
    <row r="46" spans="1:10" s="55" customFormat="1" ht="18.75">
      <c r="A46" s="76"/>
      <c r="B46" s="86" t="s">
        <v>254</v>
      </c>
      <c r="C46" s="78">
        <v>475000000</v>
      </c>
      <c r="D46" s="78">
        <v>15000000</v>
      </c>
      <c r="E46" s="78">
        <v>402415000</v>
      </c>
      <c r="F46" s="78">
        <v>26610000</v>
      </c>
      <c r="G46" s="113">
        <f>E46/C46</f>
        <v>0.84718947368421049</v>
      </c>
      <c r="H46" s="113">
        <f>F46/D46</f>
        <v>1.774</v>
      </c>
      <c r="I46" s="79"/>
      <c r="J46" s="80"/>
    </row>
    <row r="47" spans="1:10" s="55" customFormat="1" ht="18.75">
      <c r="A47" s="76"/>
      <c r="B47" s="86" t="s">
        <v>255</v>
      </c>
      <c r="C47" s="78">
        <v>1100000000</v>
      </c>
      <c r="D47" s="78">
        <v>1000000000</v>
      </c>
      <c r="E47" s="78">
        <v>133658601</v>
      </c>
      <c r="F47" s="78"/>
      <c r="G47" s="113">
        <f>E47/C47</f>
        <v>0.12150781909090909</v>
      </c>
      <c r="H47" s="113"/>
      <c r="I47" s="79"/>
      <c r="J47" s="80"/>
    </row>
    <row r="48" spans="1:10" s="55" customFormat="1" ht="18.75">
      <c r="A48" s="76" t="s">
        <v>15</v>
      </c>
      <c r="B48" s="86" t="s">
        <v>256</v>
      </c>
      <c r="C48" s="78"/>
      <c r="D48" s="78"/>
      <c r="E48" s="78">
        <v>123189000</v>
      </c>
      <c r="F48" s="78"/>
      <c r="G48" s="113"/>
      <c r="H48" s="113"/>
      <c r="I48" s="79"/>
      <c r="J48" s="80"/>
    </row>
    <row r="49" spans="1:10" s="55" customFormat="1" ht="18.75">
      <c r="A49" s="76" t="s">
        <v>15</v>
      </c>
      <c r="B49" s="86" t="s">
        <v>257</v>
      </c>
      <c r="C49" s="78"/>
      <c r="D49" s="78"/>
      <c r="E49" s="78">
        <v>696398027</v>
      </c>
      <c r="F49" s="78">
        <v>379776873</v>
      </c>
      <c r="G49" s="113"/>
      <c r="H49" s="113"/>
      <c r="I49" s="79"/>
      <c r="J49" s="80"/>
    </row>
    <row r="50" spans="1:10" s="55" customFormat="1" ht="18.75">
      <c r="A50" s="76" t="s">
        <v>15</v>
      </c>
      <c r="B50" s="86" t="s">
        <v>258</v>
      </c>
      <c r="C50" s="78"/>
      <c r="D50" s="78"/>
      <c r="E50" s="78"/>
      <c r="F50" s="78"/>
      <c r="G50" s="113"/>
      <c r="H50" s="113"/>
      <c r="I50" s="79"/>
      <c r="J50" s="80"/>
    </row>
    <row r="51" spans="1:10" s="55" customFormat="1" ht="18.75">
      <c r="A51" s="76" t="s">
        <v>15</v>
      </c>
      <c r="B51" s="83" t="s">
        <v>259</v>
      </c>
      <c r="C51" s="78">
        <v>1040000000</v>
      </c>
      <c r="D51" s="78">
        <v>1025000000</v>
      </c>
      <c r="E51" s="78">
        <v>46129331</v>
      </c>
      <c r="F51" s="78">
        <v>46101750</v>
      </c>
      <c r="G51" s="113">
        <f>E51/C51</f>
        <v>4.4355125961538462E-2</v>
      </c>
      <c r="H51" s="113">
        <f>F51/D51</f>
        <v>4.4977317073170729E-2</v>
      </c>
      <c r="I51" s="79"/>
      <c r="J51" s="80"/>
    </row>
    <row r="52" spans="1:10" s="54" customFormat="1" ht="18.75">
      <c r="A52" s="19" t="s">
        <v>19</v>
      </c>
      <c r="B52" s="20" t="s">
        <v>260</v>
      </c>
      <c r="C52" s="75"/>
      <c r="D52" s="75"/>
      <c r="E52" s="75"/>
      <c r="F52" s="75"/>
      <c r="G52" s="114"/>
      <c r="H52" s="114"/>
      <c r="I52" s="81" t="e">
        <f>#REF!-#REF!</f>
        <v>#REF!</v>
      </c>
      <c r="J52" s="82" t="e">
        <f>#REF!-#REF!</f>
        <v>#REF!</v>
      </c>
    </row>
    <row r="53" spans="1:10" s="54" customFormat="1" ht="18.75">
      <c r="A53" s="19" t="s">
        <v>63</v>
      </c>
      <c r="B53" s="20" t="s">
        <v>261</v>
      </c>
      <c r="C53" s="75"/>
      <c r="D53" s="75"/>
      <c r="E53" s="75"/>
      <c r="F53" s="75"/>
      <c r="G53" s="114"/>
      <c r="H53" s="114"/>
      <c r="I53" s="81" t="e">
        <f>#REF!-#REF!</f>
        <v>#REF!</v>
      </c>
      <c r="J53" s="82" t="e">
        <f>#REF!-#REF!</f>
        <v>#REF!</v>
      </c>
    </row>
    <row r="54" spans="1:10" s="54" customFormat="1" ht="18.75">
      <c r="A54" s="25">
        <v>1</v>
      </c>
      <c r="B54" s="22" t="s">
        <v>262</v>
      </c>
      <c r="C54" s="75"/>
      <c r="D54" s="75"/>
      <c r="E54" s="75"/>
      <c r="F54" s="75"/>
      <c r="G54" s="114"/>
      <c r="H54" s="114"/>
      <c r="I54" s="81"/>
      <c r="J54" s="82"/>
    </row>
    <row r="55" spans="1:10" s="54" customFormat="1" ht="18.75">
      <c r="A55" s="25">
        <f>A54+1</f>
        <v>2</v>
      </c>
      <c r="B55" s="22" t="s">
        <v>263</v>
      </c>
      <c r="C55" s="75"/>
      <c r="D55" s="75"/>
      <c r="E55" s="75"/>
      <c r="F55" s="75"/>
      <c r="G55" s="114"/>
      <c r="H55" s="114"/>
      <c r="I55" s="81"/>
      <c r="J55" s="82"/>
    </row>
    <row r="56" spans="1:10" s="54" customFormat="1" ht="18.75">
      <c r="A56" s="25">
        <f>A55+1</f>
        <v>3</v>
      </c>
      <c r="B56" s="22" t="s">
        <v>264</v>
      </c>
      <c r="C56" s="75"/>
      <c r="D56" s="75"/>
      <c r="E56" s="75"/>
      <c r="F56" s="75"/>
      <c r="G56" s="114"/>
      <c r="H56" s="114"/>
      <c r="I56" s="81"/>
      <c r="J56" s="82"/>
    </row>
    <row r="57" spans="1:10" s="54" customFormat="1" ht="18.75">
      <c r="A57" s="25">
        <f>A56+1</f>
        <v>4</v>
      </c>
      <c r="B57" s="22" t="s">
        <v>265</v>
      </c>
      <c r="C57" s="75"/>
      <c r="D57" s="75"/>
      <c r="E57" s="75"/>
      <c r="F57" s="75"/>
      <c r="G57" s="114"/>
      <c r="H57" s="114"/>
      <c r="I57" s="81"/>
      <c r="J57" s="82"/>
    </row>
    <row r="58" spans="1:10" s="54" customFormat="1" ht="18.75">
      <c r="A58" s="25">
        <f>A57+1</f>
        <v>5</v>
      </c>
      <c r="B58" s="22" t="s">
        <v>266</v>
      </c>
      <c r="C58" s="75"/>
      <c r="D58" s="75"/>
      <c r="E58" s="75"/>
      <c r="F58" s="75"/>
      <c r="G58" s="114"/>
      <c r="H58" s="114"/>
      <c r="I58" s="81"/>
      <c r="J58" s="82"/>
    </row>
    <row r="59" spans="1:10" s="54" customFormat="1" ht="18.75">
      <c r="A59" s="25">
        <f>A58+1</f>
        <v>6</v>
      </c>
      <c r="B59" s="22" t="s">
        <v>267</v>
      </c>
      <c r="C59" s="75"/>
      <c r="D59" s="75"/>
      <c r="E59" s="75"/>
      <c r="F59" s="75"/>
      <c r="G59" s="114"/>
      <c r="H59" s="114"/>
      <c r="I59" s="81"/>
      <c r="J59" s="82"/>
    </row>
    <row r="60" spans="1:10" s="54" customFormat="1" ht="18.75">
      <c r="A60" s="19" t="s">
        <v>64</v>
      </c>
      <c r="B60" s="20" t="s">
        <v>222</v>
      </c>
      <c r="C60" s="75"/>
      <c r="D60" s="75"/>
      <c r="E60" s="75"/>
      <c r="F60" s="75"/>
      <c r="G60" s="114"/>
      <c r="H60" s="114"/>
      <c r="I60" s="81" t="e">
        <f>#REF!-#REF!</f>
        <v>#REF!</v>
      </c>
      <c r="J60" s="82" t="e">
        <f>#REF!-#REF!</f>
        <v>#REF!</v>
      </c>
    </row>
    <row r="61" spans="1:10" s="92" customFormat="1" ht="18.75">
      <c r="A61" s="87" t="s">
        <v>26</v>
      </c>
      <c r="B61" s="88" t="s">
        <v>268</v>
      </c>
      <c r="C61" s="89"/>
      <c r="D61" s="89"/>
      <c r="E61" s="89"/>
      <c r="F61" s="89"/>
      <c r="G61" s="115"/>
      <c r="H61" s="115"/>
      <c r="I61" s="90"/>
      <c r="J61" s="91"/>
    </row>
    <row r="62" spans="1:10" s="92" customFormat="1" ht="18.75">
      <c r="A62" s="87" t="s">
        <v>44</v>
      </c>
      <c r="B62" s="88" t="s">
        <v>269</v>
      </c>
      <c r="C62" s="89"/>
      <c r="D62" s="89"/>
      <c r="E62" s="89">
        <v>9115264106</v>
      </c>
      <c r="F62" s="89">
        <f>E62</f>
        <v>9115264106</v>
      </c>
      <c r="G62" s="115"/>
      <c r="H62" s="115"/>
      <c r="I62" s="90"/>
      <c r="J62" s="91"/>
    </row>
    <row r="63" spans="1:10" s="92" customFormat="1" ht="37.5">
      <c r="A63" s="87" t="s">
        <v>206</v>
      </c>
      <c r="B63" s="88" t="s">
        <v>270</v>
      </c>
      <c r="C63" s="89"/>
      <c r="D63" s="89"/>
      <c r="E63" s="89">
        <v>45676684446</v>
      </c>
      <c r="F63" s="89">
        <f>E63</f>
        <v>45676684446</v>
      </c>
      <c r="G63" s="115"/>
      <c r="H63" s="115"/>
      <c r="I63" s="90"/>
      <c r="J63" s="91"/>
    </row>
    <row r="64" spans="1:10" ht="19.5" thickBot="1">
      <c r="A64" s="93"/>
      <c r="B64" s="94"/>
      <c r="C64" s="95"/>
      <c r="D64" s="95"/>
      <c r="E64" s="95"/>
      <c r="F64" s="95"/>
      <c r="G64" s="116"/>
      <c r="H64" s="116"/>
      <c r="I64" s="96"/>
      <c r="J64" s="97"/>
    </row>
    <row r="65" spans="1:10" s="118" customFormat="1">
      <c r="A65" s="119" t="s">
        <v>300</v>
      </c>
      <c r="B65" s="120"/>
      <c r="C65" s="121"/>
      <c r="D65" s="121"/>
      <c r="E65" s="121"/>
      <c r="F65" s="121"/>
      <c r="G65" s="122"/>
      <c r="H65" s="122"/>
      <c r="I65" s="117"/>
      <c r="J65" s="117"/>
    </row>
    <row r="66" spans="1:10" ht="25.5" customHeight="1">
      <c r="A66" s="313" t="s">
        <v>271</v>
      </c>
      <c r="B66" s="313"/>
      <c r="C66" s="313"/>
      <c r="D66" s="313"/>
      <c r="E66" s="313"/>
      <c r="F66" s="313"/>
      <c r="G66" s="313"/>
      <c r="H66" s="313"/>
      <c r="I66" s="313"/>
      <c r="J66" s="313"/>
    </row>
    <row r="67" spans="1:10" ht="19.5" customHeight="1">
      <c r="A67" s="44"/>
      <c r="B67" s="98" t="s">
        <v>272</v>
      </c>
      <c r="C67" s="44"/>
      <c r="D67" s="44"/>
      <c r="E67" s="44"/>
      <c r="F67" s="44"/>
      <c r="G67" s="44"/>
      <c r="H67" s="44"/>
      <c r="I67" s="44"/>
      <c r="J67" s="44"/>
    </row>
    <row r="68" spans="1:10" ht="18.75">
      <c r="A68" s="44"/>
      <c r="B68" s="98" t="s">
        <v>273</v>
      </c>
      <c r="C68" s="44"/>
      <c r="D68" s="44"/>
      <c r="E68" s="44"/>
      <c r="F68" s="44"/>
      <c r="G68" s="44"/>
      <c r="H68" s="44"/>
      <c r="I68" s="44"/>
      <c r="J68" s="44"/>
    </row>
    <row r="69" spans="1:10" ht="18.75">
      <c r="A69" s="44"/>
      <c r="B69" s="98" t="s">
        <v>274</v>
      </c>
      <c r="C69" s="44"/>
      <c r="D69" s="44"/>
      <c r="E69" s="44"/>
      <c r="F69" s="44"/>
      <c r="G69" s="44"/>
      <c r="H69" s="44"/>
      <c r="I69" s="44"/>
      <c r="J69" s="44"/>
    </row>
    <row r="70" spans="1:10" ht="18.75">
      <c r="A70" s="44"/>
      <c r="B70" s="99" t="s">
        <v>275</v>
      </c>
      <c r="C70" s="44"/>
      <c r="D70" s="44"/>
      <c r="E70" s="44"/>
      <c r="F70" s="44"/>
      <c r="G70" s="44"/>
      <c r="H70" s="44"/>
      <c r="I70" s="44"/>
      <c r="J70" s="44"/>
    </row>
    <row r="71" spans="1:10" ht="18.75">
      <c r="A71" s="44"/>
      <c r="B71" s="100" t="s">
        <v>276</v>
      </c>
      <c r="C71" s="44"/>
      <c r="D71" s="44"/>
      <c r="E71" s="44"/>
      <c r="F71" s="44"/>
      <c r="G71" s="44"/>
      <c r="H71" s="44"/>
      <c r="I71" s="44"/>
      <c r="J71" s="44"/>
    </row>
    <row r="72" spans="1:10" ht="18.75">
      <c r="A72" s="44"/>
      <c r="B72" s="99" t="s">
        <v>277</v>
      </c>
      <c r="C72" s="44"/>
      <c r="D72" s="44"/>
      <c r="E72" s="44"/>
      <c r="F72" s="44"/>
      <c r="G72" s="44"/>
      <c r="H72" s="44"/>
      <c r="I72" s="44"/>
      <c r="J72" s="44"/>
    </row>
    <row r="73" spans="1:10" ht="18.75">
      <c r="A73" s="44"/>
      <c r="B73" s="100" t="s">
        <v>278</v>
      </c>
      <c r="C73" s="44"/>
      <c r="D73" s="44"/>
      <c r="E73" s="44"/>
      <c r="F73" s="44"/>
      <c r="G73" s="44"/>
      <c r="H73" s="44"/>
      <c r="I73" s="44"/>
      <c r="J73" s="44"/>
    </row>
    <row r="74" spans="1:10" ht="18.75">
      <c r="A74" s="45"/>
      <c r="B74" s="98" t="s">
        <v>279</v>
      </c>
      <c r="C74" s="44"/>
      <c r="D74" s="44"/>
      <c r="E74" s="44"/>
      <c r="F74" s="44"/>
      <c r="G74" s="44"/>
      <c r="H74" s="44"/>
      <c r="I74" s="44"/>
      <c r="J74" s="44"/>
    </row>
    <row r="75" spans="1:10" ht="18.75">
      <c r="A75" s="54"/>
      <c r="B75" s="98" t="s">
        <v>280</v>
      </c>
      <c r="C75" s="44"/>
      <c r="D75" s="44"/>
      <c r="E75" s="44"/>
      <c r="F75" s="44"/>
      <c r="G75" s="44"/>
      <c r="H75" s="44"/>
      <c r="I75" s="44"/>
      <c r="J75" s="44"/>
    </row>
    <row r="76" spans="1:10" ht="18.75">
      <c r="A76" s="54"/>
      <c r="B76" s="98" t="s">
        <v>281</v>
      </c>
      <c r="C76" s="44"/>
      <c r="D76" s="44"/>
      <c r="E76" s="44"/>
      <c r="F76" s="44"/>
      <c r="G76" s="44"/>
      <c r="H76" s="44"/>
      <c r="I76" s="44"/>
      <c r="J76" s="44"/>
    </row>
    <row r="77" spans="1:10" ht="18.75">
      <c r="A77" s="54"/>
      <c r="B77" s="54"/>
      <c r="C77" s="54"/>
      <c r="D77" s="54"/>
      <c r="E77" s="54"/>
      <c r="F77" s="54"/>
      <c r="G77" s="54"/>
      <c r="H77" s="54"/>
    </row>
    <row r="78" spans="1:10" ht="18.75">
      <c r="A78" s="54"/>
      <c r="B78" s="54"/>
      <c r="C78" s="54"/>
      <c r="D78" s="54"/>
      <c r="E78" s="54"/>
      <c r="F78" s="54"/>
      <c r="G78" s="54"/>
      <c r="H78" s="54"/>
    </row>
    <row r="79" spans="1:10" ht="22.5" customHeight="1">
      <c r="A79" s="54"/>
      <c r="B79" s="54"/>
      <c r="C79" s="54"/>
      <c r="D79" s="54"/>
      <c r="E79" s="54"/>
      <c r="F79" s="54"/>
      <c r="G79" s="54"/>
      <c r="H79" s="54"/>
    </row>
    <row r="80" spans="1:10" ht="18.75">
      <c r="A80" s="54"/>
      <c r="B80" s="54"/>
      <c r="C80" s="54"/>
      <c r="D80" s="54"/>
      <c r="E80" s="54"/>
      <c r="F80" s="54"/>
      <c r="G80" s="54"/>
      <c r="H80" s="54"/>
    </row>
    <row r="81" spans="1:8" ht="18.75">
      <c r="A81" s="54"/>
      <c r="B81" s="54"/>
      <c r="C81" s="54"/>
      <c r="D81" s="54"/>
      <c r="E81" s="54"/>
      <c r="F81" s="54"/>
      <c r="G81" s="54"/>
      <c r="H81" s="54"/>
    </row>
    <row r="82" spans="1:8" ht="18.75">
      <c r="A82" s="54"/>
      <c r="B82" s="54"/>
      <c r="C82" s="54"/>
      <c r="D82" s="54"/>
      <c r="E82" s="54"/>
      <c r="F82" s="54"/>
      <c r="G82" s="54"/>
      <c r="H82" s="54"/>
    </row>
    <row r="83" spans="1:8" ht="18.75">
      <c r="A83" s="54"/>
      <c r="B83" s="54"/>
      <c r="C83" s="54"/>
      <c r="D83" s="54"/>
      <c r="E83" s="54"/>
      <c r="F83" s="54"/>
      <c r="G83" s="54"/>
      <c r="H83" s="54"/>
    </row>
  </sheetData>
  <mergeCells count="9">
    <mergeCell ref="A66:J66"/>
    <mergeCell ref="A3:H3"/>
    <mergeCell ref="A4:H4"/>
    <mergeCell ref="A7:A8"/>
    <mergeCell ref="B7:B8"/>
    <mergeCell ref="C7:D7"/>
    <mergeCell ref="E7:F7"/>
    <mergeCell ref="G7:H7"/>
    <mergeCell ref="G5:H6"/>
  </mergeCells>
  <pageMargins left="0.88" right="0.36" top="0.61" bottom="0.43" header="0.2" footer="0.2"/>
  <pageSetup paperSize="9" scale="76" fitToHeight="5" orientation="landscape" r:id="rId1"/>
  <headerFooter alignWithMargins="0">
    <oddFooter xml:space="preserve">&amp;C&amp;".VnTime,Italic"&amp;8
</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9"/>
  <sheetViews>
    <sheetView showGridLines="0" topLeftCell="A37" workbookViewId="0">
      <selection activeCell="C56" sqref="C56"/>
    </sheetView>
  </sheetViews>
  <sheetFormatPr defaultRowHeight="16.5"/>
  <cols>
    <col min="1" max="1" width="7" style="108" customWidth="1"/>
    <col min="2" max="2" width="51.7109375" style="108" customWidth="1"/>
    <col min="3" max="3" width="20" style="108" customWidth="1"/>
    <col min="4" max="4" width="19.7109375" style="108" customWidth="1"/>
    <col min="5" max="5" width="13.5703125" style="108" customWidth="1"/>
    <col min="6" max="16384" width="9.140625" style="108"/>
  </cols>
  <sheetData>
    <row r="1" spans="1:5" ht="16.5" customHeight="1">
      <c r="A1" s="262" t="s">
        <v>520</v>
      </c>
      <c r="B1" s="201"/>
      <c r="C1" s="201"/>
      <c r="E1" s="261"/>
    </row>
    <row r="2" spans="1:5">
      <c r="A2" s="109" t="s">
        <v>0</v>
      </c>
    </row>
    <row r="3" spans="1:5" s="161" customFormat="1" ht="19.5">
      <c r="A3" s="321" t="s">
        <v>1</v>
      </c>
      <c r="B3" s="321"/>
      <c r="C3" s="321"/>
      <c r="D3" s="321"/>
      <c r="E3" s="321"/>
    </row>
    <row r="4" spans="1:5" s="161" customFormat="1" ht="19.5">
      <c r="A4" s="322" t="s">
        <v>2</v>
      </c>
      <c r="B4" s="322"/>
      <c r="C4" s="322"/>
      <c r="D4" s="322"/>
      <c r="E4" s="322"/>
    </row>
    <row r="5" spans="1:5">
      <c r="A5" s="109" t="s">
        <v>0</v>
      </c>
    </row>
    <row r="6" spans="1:5">
      <c r="A6" s="323" t="s">
        <v>3</v>
      </c>
      <c r="B6" s="323"/>
      <c r="C6" s="323"/>
      <c r="D6" s="323"/>
      <c r="E6" s="323"/>
    </row>
    <row r="7" spans="1:5" ht="6.75" customHeight="1">
      <c r="A7" s="109" t="s">
        <v>0</v>
      </c>
    </row>
    <row r="8" spans="1:5" ht="33">
      <c r="A8" s="140" t="s">
        <v>4</v>
      </c>
      <c r="B8" s="140" t="s">
        <v>5</v>
      </c>
      <c r="C8" s="140" t="s">
        <v>336</v>
      </c>
      <c r="D8" s="140" t="s">
        <v>7</v>
      </c>
      <c r="E8" s="140" t="s">
        <v>8</v>
      </c>
    </row>
    <row r="9" spans="1:5" s="147" customFormat="1" ht="27" customHeight="1">
      <c r="A9" s="145"/>
      <c r="B9" s="145" t="s">
        <v>48</v>
      </c>
      <c r="C9" s="146">
        <f>C10+C21+C46</f>
        <v>368798000000</v>
      </c>
      <c r="D9" s="146">
        <f>D10+D21+D45+D46</f>
        <v>449966404988</v>
      </c>
      <c r="E9" s="151">
        <f>D9/C9</f>
        <v>1.2200890595610605</v>
      </c>
    </row>
    <row r="10" spans="1:5" s="147" customFormat="1">
      <c r="A10" s="148" t="s">
        <v>9</v>
      </c>
      <c r="B10" s="149" t="s">
        <v>10</v>
      </c>
      <c r="C10" s="150">
        <f>C11+C16+C19+C20</f>
        <v>326966000000</v>
      </c>
      <c r="D10" s="150">
        <f>D11+D16+D19+D20</f>
        <v>344932512100</v>
      </c>
      <c r="E10" s="152">
        <f t="shared" ref="E10:E42" si="0">D10/C10</f>
        <v>1.0549491754494351</v>
      </c>
    </row>
    <row r="11" spans="1:5" s="147" customFormat="1">
      <c r="A11" s="148" t="s">
        <v>11</v>
      </c>
      <c r="B11" s="149" t="s">
        <v>12</v>
      </c>
      <c r="C11" s="150">
        <v>34384000000</v>
      </c>
      <c r="D11" s="150">
        <v>42908075957</v>
      </c>
      <c r="E11" s="152">
        <f t="shared" si="0"/>
        <v>1.2479082118718008</v>
      </c>
    </row>
    <row r="12" spans="1:5">
      <c r="A12" s="141" t="s">
        <v>13</v>
      </c>
      <c r="B12" s="142" t="s">
        <v>14</v>
      </c>
      <c r="C12" s="143">
        <v>33478000000</v>
      </c>
      <c r="D12" s="143">
        <f>41187051258+1721024699</f>
        <v>42908075957</v>
      </c>
      <c r="E12" s="153">
        <f t="shared" si="0"/>
        <v>1.2816797884282216</v>
      </c>
    </row>
    <row r="13" spans="1:5">
      <c r="A13" s="141" t="s">
        <v>15</v>
      </c>
      <c r="B13" s="142" t="s">
        <v>16</v>
      </c>
      <c r="C13" s="143">
        <f>2209921000</f>
        <v>2209921000</v>
      </c>
      <c r="D13" s="143">
        <v>3161236081</v>
      </c>
      <c r="E13" s="153">
        <f t="shared" si="0"/>
        <v>1.4304747006793455</v>
      </c>
    </row>
    <row r="14" spans="1:5">
      <c r="A14" s="141" t="s">
        <v>15</v>
      </c>
      <c r="B14" s="142" t="s">
        <v>17</v>
      </c>
      <c r="C14" s="143"/>
      <c r="D14" s="143">
        <v>0</v>
      </c>
      <c r="E14" s="153"/>
    </row>
    <row r="15" spans="1:5">
      <c r="A15" s="141" t="s">
        <v>15</v>
      </c>
      <c r="B15" s="142" t="s">
        <v>18</v>
      </c>
      <c r="C15" s="143">
        <v>4447000000</v>
      </c>
      <c r="D15" s="143">
        <v>4447000000</v>
      </c>
      <c r="E15" s="153">
        <f t="shared" si="0"/>
        <v>1</v>
      </c>
    </row>
    <row r="16" spans="1:5" s="147" customFormat="1">
      <c r="A16" s="148" t="s">
        <v>19</v>
      </c>
      <c r="B16" s="149" t="s">
        <v>20</v>
      </c>
      <c r="C16" s="150">
        <v>282586000000</v>
      </c>
      <c r="D16" s="150">
        <v>302024436143</v>
      </c>
      <c r="E16" s="152">
        <f t="shared" si="0"/>
        <v>1.0687876828399143</v>
      </c>
    </row>
    <row r="17" spans="1:5">
      <c r="A17" s="141" t="s">
        <v>13</v>
      </c>
      <c r="B17" s="142" t="s">
        <v>16</v>
      </c>
      <c r="C17" s="143">
        <v>162404000000</v>
      </c>
      <c r="D17" s="143">
        <v>167356487315</v>
      </c>
      <c r="E17" s="153">
        <f t="shared" si="0"/>
        <v>1.0304948604406294</v>
      </c>
    </row>
    <row r="18" spans="1:5">
      <c r="A18" s="141" t="s">
        <v>21</v>
      </c>
      <c r="B18" s="142" t="s">
        <v>17</v>
      </c>
      <c r="C18" s="143">
        <v>135000000</v>
      </c>
      <c r="D18" s="143">
        <v>135000000</v>
      </c>
      <c r="E18" s="153">
        <f t="shared" si="0"/>
        <v>1</v>
      </c>
    </row>
    <row r="19" spans="1:5" s="147" customFormat="1">
      <c r="A19" s="148" t="s">
        <v>22</v>
      </c>
      <c r="B19" s="149" t="s">
        <v>23</v>
      </c>
      <c r="C19" s="150">
        <v>5550000000</v>
      </c>
      <c r="D19" s="150">
        <v>0</v>
      </c>
      <c r="E19" s="153">
        <f t="shared" si="0"/>
        <v>0</v>
      </c>
    </row>
    <row r="20" spans="1:5" s="147" customFormat="1">
      <c r="A20" s="148" t="s">
        <v>24</v>
      </c>
      <c r="B20" s="149" t="s">
        <v>25</v>
      </c>
      <c r="C20" s="150">
        <v>4446000000</v>
      </c>
      <c r="D20" s="150">
        <v>0</v>
      </c>
      <c r="E20" s="153">
        <f t="shared" si="0"/>
        <v>0</v>
      </c>
    </row>
    <row r="21" spans="1:5" s="147" customFormat="1">
      <c r="A21" s="148" t="s">
        <v>26</v>
      </c>
      <c r="B21" s="149" t="s">
        <v>27</v>
      </c>
      <c r="C21" s="150">
        <f>C22+C38</f>
        <v>41832000000</v>
      </c>
      <c r="D21" s="150">
        <f>D22+D38</f>
        <v>42523814593</v>
      </c>
      <c r="E21" s="153">
        <f t="shared" si="0"/>
        <v>1.0165379277347486</v>
      </c>
    </row>
    <row r="22" spans="1:5" s="147" customFormat="1">
      <c r="A22" s="148" t="s">
        <v>11</v>
      </c>
      <c r="B22" s="149" t="s">
        <v>28</v>
      </c>
      <c r="C22" s="150">
        <f>C23+C29</f>
        <v>41722000000</v>
      </c>
      <c r="D22" s="150">
        <f>D23+D29</f>
        <v>42410814593</v>
      </c>
      <c r="E22" s="152">
        <f t="shared" si="0"/>
        <v>1.0165096254494033</v>
      </c>
    </row>
    <row r="23" spans="1:5" s="147" customFormat="1">
      <c r="A23" s="148">
        <v>1</v>
      </c>
      <c r="B23" s="149" t="s">
        <v>304</v>
      </c>
      <c r="C23" s="150">
        <f>SUM(C24:C28)</f>
        <v>15148000000</v>
      </c>
      <c r="D23" s="150">
        <f>SUM(D24:D28)</f>
        <v>15975063788</v>
      </c>
      <c r="E23" s="152">
        <f t="shared" si="0"/>
        <v>1.0545988769474519</v>
      </c>
    </row>
    <row r="24" spans="1:5">
      <c r="A24" s="141" t="s">
        <v>306</v>
      </c>
      <c r="B24" s="142" t="s">
        <v>307</v>
      </c>
      <c r="C24" s="143"/>
      <c r="D24" s="143">
        <v>827836981</v>
      </c>
      <c r="E24" s="153"/>
    </row>
    <row r="25" spans="1:5">
      <c r="A25" s="141" t="s">
        <v>308</v>
      </c>
      <c r="B25" s="142" t="s">
        <v>309</v>
      </c>
      <c r="C25" s="143">
        <f>10795000000+3576000000</f>
        <v>14371000000</v>
      </c>
      <c r="D25" s="143">
        <v>14380774307</v>
      </c>
      <c r="E25" s="153">
        <f t="shared" si="0"/>
        <v>1.0006801410479438</v>
      </c>
    </row>
    <row r="26" spans="1:5" ht="49.5">
      <c r="A26" s="141" t="s">
        <v>320</v>
      </c>
      <c r="B26" s="142" t="s">
        <v>310</v>
      </c>
      <c r="C26" s="143">
        <v>245000000</v>
      </c>
      <c r="D26" s="143">
        <v>240492500</v>
      </c>
      <c r="E26" s="153">
        <f t="shared" si="0"/>
        <v>0.98160204081632652</v>
      </c>
    </row>
    <row r="27" spans="1:5">
      <c r="A27" s="141" t="s">
        <v>321</v>
      </c>
      <c r="B27" s="142" t="s">
        <v>311</v>
      </c>
      <c r="C27" s="143">
        <v>472000000</v>
      </c>
      <c r="D27" s="143">
        <v>465960000</v>
      </c>
      <c r="E27" s="153">
        <f t="shared" si="0"/>
        <v>0.98720338983050848</v>
      </c>
    </row>
    <row r="28" spans="1:5" ht="33">
      <c r="A28" s="141" t="s">
        <v>322</v>
      </c>
      <c r="B28" s="142" t="s">
        <v>312</v>
      </c>
      <c r="C28" s="143">
        <v>60000000</v>
      </c>
      <c r="D28" s="143">
        <v>60000000</v>
      </c>
      <c r="E28" s="153">
        <f t="shared" si="0"/>
        <v>1</v>
      </c>
    </row>
    <row r="29" spans="1:5" s="147" customFormat="1">
      <c r="A29" s="148">
        <v>2</v>
      </c>
      <c r="B29" s="149" t="s">
        <v>305</v>
      </c>
      <c r="C29" s="150">
        <f>SUM(C30:C37)</f>
        <v>26574000000</v>
      </c>
      <c r="D29" s="150">
        <f>SUM(D30:D37)</f>
        <v>26435750805</v>
      </c>
      <c r="E29" s="152">
        <f t="shared" si="0"/>
        <v>0.9947975767667645</v>
      </c>
    </row>
    <row r="30" spans="1:5" ht="17.25">
      <c r="A30" s="154" t="s">
        <v>323</v>
      </c>
      <c r="B30" s="156" t="s">
        <v>313</v>
      </c>
      <c r="C30" s="143">
        <f>20990000000+2034705000</f>
        <v>23024705000</v>
      </c>
      <c r="D30" s="143">
        <v>22981817005</v>
      </c>
      <c r="E30" s="153">
        <f t="shared" si="0"/>
        <v>0.99813730534223999</v>
      </c>
    </row>
    <row r="31" spans="1:5" ht="86.25">
      <c r="A31" s="154" t="s">
        <v>324</v>
      </c>
      <c r="B31" s="156" t="s">
        <v>314</v>
      </c>
      <c r="C31" s="143">
        <v>693000000</v>
      </c>
      <c r="D31" s="143">
        <v>644410000</v>
      </c>
      <c r="E31" s="153">
        <f t="shared" si="0"/>
        <v>0.92988455988455987</v>
      </c>
    </row>
    <row r="32" spans="1:5" ht="69">
      <c r="A32" s="154" t="s">
        <v>325</v>
      </c>
      <c r="B32" s="156" t="s">
        <v>315</v>
      </c>
      <c r="C32" s="143">
        <v>1000000000</v>
      </c>
      <c r="D32" s="143">
        <v>987900000</v>
      </c>
      <c r="E32" s="153">
        <f t="shared" si="0"/>
        <v>0.9879</v>
      </c>
    </row>
    <row r="33" spans="1:5" ht="17.25">
      <c r="A33" s="154" t="s">
        <v>326</v>
      </c>
      <c r="B33" s="156" t="s">
        <v>316</v>
      </c>
      <c r="C33" s="143">
        <v>236000000</v>
      </c>
      <c r="D33" s="143">
        <v>235890600</v>
      </c>
      <c r="E33" s="153">
        <f t="shared" si="0"/>
        <v>0.9995364406779661</v>
      </c>
    </row>
    <row r="34" spans="1:5" ht="34.5">
      <c r="A34" s="154" t="s">
        <v>327</v>
      </c>
      <c r="B34" s="156" t="s">
        <v>317</v>
      </c>
      <c r="C34" s="143">
        <v>800000000</v>
      </c>
      <c r="D34" s="143">
        <v>781676000</v>
      </c>
      <c r="E34" s="153">
        <f t="shared" si="0"/>
        <v>0.97709500000000005</v>
      </c>
    </row>
    <row r="35" spans="1:5" ht="51.75">
      <c r="A35" s="154" t="s">
        <v>328</v>
      </c>
      <c r="B35" s="156" t="s">
        <v>318</v>
      </c>
      <c r="C35" s="143">
        <v>495295000</v>
      </c>
      <c r="D35" s="143">
        <v>494367200</v>
      </c>
      <c r="E35" s="153">
        <f t="shared" si="0"/>
        <v>0.99812677293330243</v>
      </c>
    </row>
    <row r="36" spans="1:5" ht="103.5">
      <c r="A36" s="154" t="s">
        <v>329</v>
      </c>
      <c r="B36" s="156" t="s">
        <v>335</v>
      </c>
      <c r="C36" s="143">
        <v>215000000</v>
      </c>
      <c r="D36" s="143">
        <v>202600000</v>
      </c>
      <c r="E36" s="153">
        <f t="shared" si="0"/>
        <v>0.94232558139534883</v>
      </c>
    </row>
    <row r="37" spans="1:5" ht="51.75">
      <c r="A37" s="154" t="s">
        <v>330</v>
      </c>
      <c r="B37" s="156" t="s">
        <v>319</v>
      </c>
      <c r="C37" s="143">
        <v>110000000</v>
      </c>
      <c r="D37" s="143">
        <v>107090000</v>
      </c>
      <c r="E37" s="153">
        <f t="shared" si="0"/>
        <v>0.97354545454545449</v>
      </c>
    </row>
    <row r="38" spans="1:5" s="147" customFormat="1">
      <c r="A38" s="148" t="s">
        <v>19</v>
      </c>
      <c r="B38" s="149" t="s">
        <v>29</v>
      </c>
      <c r="C38" s="150">
        <f>C39+C41+C43</f>
        <v>110000000</v>
      </c>
      <c r="D38" s="150">
        <f>D39+D41+D43</f>
        <v>113000000</v>
      </c>
      <c r="E38" s="152">
        <f>D38/C38</f>
        <v>1.0272727272727273</v>
      </c>
    </row>
    <row r="39" spans="1:5" s="147" customFormat="1" ht="33">
      <c r="A39" s="155" t="s">
        <v>13</v>
      </c>
      <c r="B39" s="149" t="s">
        <v>331</v>
      </c>
      <c r="C39" s="150">
        <f>C40</f>
        <v>10000000</v>
      </c>
      <c r="D39" s="150">
        <f>D40</f>
        <v>10000000</v>
      </c>
      <c r="E39" s="152">
        <f t="shared" si="0"/>
        <v>1</v>
      </c>
    </row>
    <row r="40" spans="1:5">
      <c r="A40" s="154" t="s">
        <v>15</v>
      </c>
      <c r="B40" s="142" t="s">
        <v>332</v>
      </c>
      <c r="C40" s="143">
        <v>10000000</v>
      </c>
      <c r="D40" s="143">
        <v>10000000</v>
      </c>
      <c r="E40" s="153">
        <f t="shared" si="0"/>
        <v>1</v>
      </c>
    </row>
    <row r="41" spans="1:5" s="147" customFormat="1" ht="33">
      <c r="A41" s="155" t="s">
        <v>21</v>
      </c>
      <c r="B41" s="149" t="s">
        <v>333</v>
      </c>
      <c r="C41" s="150">
        <f>C42</f>
        <v>100000000</v>
      </c>
      <c r="D41" s="150">
        <f>D42</f>
        <v>100000000</v>
      </c>
      <c r="E41" s="152">
        <f t="shared" si="0"/>
        <v>1</v>
      </c>
    </row>
    <row r="42" spans="1:5">
      <c r="A42" s="154" t="s">
        <v>15</v>
      </c>
      <c r="B42" s="142" t="s">
        <v>332</v>
      </c>
      <c r="C42" s="143">
        <v>100000000</v>
      </c>
      <c r="D42" s="143">
        <v>100000000</v>
      </c>
      <c r="E42" s="153">
        <f t="shared" si="0"/>
        <v>1</v>
      </c>
    </row>
    <row r="43" spans="1:5" s="147" customFormat="1" ht="33">
      <c r="A43" s="155" t="s">
        <v>30</v>
      </c>
      <c r="B43" s="149" t="s">
        <v>334</v>
      </c>
      <c r="C43" s="150">
        <f>C44</f>
        <v>0</v>
      </c>
      <c r="D43" s="150">
        <f>D44</f>
        <v>3000000</v>
      </c>
      <c r="E43" s="152"/>
    </row>
    <row r="44" spans="1:5">
      <c r="A44" s="154" t="s">
        <v>15</v>
      </c>
      <c r="B44" s="142" t="s">
        <v>332</v>
      </c>
      <c r="C44" s="143"/>
      <c r="D44" s="143">
        <v>3000000</v>
      </c>
      <c r="E44" s="153"/>
    </row>
    <row r="45" spans="1:5" s="147" customFormat="1">
      <c r="A45" s="148" t="s">
        <v>44</v>
      </c>
      <c r="B45" s="149" t="s">
        <v>45</v>
      </c>
      <c r="C45" s="150"/>
      <c r="D45" s="150">
        <f>51790927200+1059585636+6663000535</f>
        <v>59513513371</v>
      </c>
      <c r="E45" s="152"/>
    </row>
    <row r="46" spans="1:5" s="147" customFormat="1">
      <c r="A46" s="157" t="s">
        <v>206</v>
      </c>
      <c r="B46" s="158" t="s">
        <v>338</v>
      </c>
      <c r="C46" s="159"/>
      <c r="D46" s="159">
        <v>2996564924</v>
      </c>
      <c r="E46" s="160"/>
    </row>
    <row r="47" spans="1:5" ht="6" customHeight="1">
      <c r="A47" s="109" t="s">
        <v>0</v>
      </c>
    </row>
    <row r="48" spans="1:5" s="162" customFormat="1" ht="37.5" customHeight="1">
      <c r="A48" s="324" t="s">
        <v>524</v>
      </c>
      <c r="B48" s="324"/>
      <c r="C48" s="324"/>
      <c r="D48" s="324"/>
      <c r="E48" s="324"/>
    </row>
    <row r="49" spans="1:3">
      <c r="A49" s="320"/>
      <c r="B49" s="320"/>
      <c r="C49" s="320"/>
    </row>
  </sheetData>
  <mergeCells count="5">
    <mergeCell ref="A49:C49"/>
    <mergeCell ref="A3:E3"/>
    <mergeCell ref="A4:E4"/>
    <mergeCell ref="A6:E6"/>
    <mergeCell ref="A48:E48"/>
  </mergeCells>
  <pageMargins left="0.74" right="0.33" top="0.75" bottom="0.53" header="0.3" footer="0.3"/>
  <pageSetup paperSize="9" scale="80" orientation="portrait" verticalDpi="0"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192"/>
  <sheetViews>
    <sheetView showGridLines="0" topLeftCell="A19" zoomScaleNormal="100" workbookViewId="0">
      <selection activeCell="D46" sqref="D46"/>
    </sheetView>
  </sheetViews>
  <sheetFormatPr defaultRowHeight="16.5"/>
  <cols>
    <col min="1" max="1" width="6.28515625" style="127" customWidth="1"/>
    <col min="2" max="2" width="28.5703125" style="127" customWidth="1"/>
    <col min="3" max="3" width="18.7109375" style="127" customWidth="1"/>
    <col min="4" max="4" width="19.85546875" style="127" customWidth="1"/>
    <col min="5" max="5" width="18.28515625" style="127" customWidth="1"/>
    <col min="6" max="6" width="14.140625" style="127" customWidth="1"/>
    <col min="7" max="7" width="20.85546875" style="177" customWidth="1"/>
    <col min="8" max="8" width="19.42578125" style="177" customWidth="1"/>
    <col min="9" max="9" width="20.85546875" style="178" customWidth="1"/>
    <col min="10" max="10" width="18" style="179" customWidth="1"/>
    <col min="11" max="11" width="19.140625" style="179" customWidth="1"/>
    <col min="12" max="12" width="15.28515625" style="174" customWidth="1"/>
    <col min="13" max="16384" width="9.140625" style="127"/>
  </cols>
  <sheetData>
    <row r="1" spans="1:12" s="123" customFormat="1">
      <c r="A1" s="260" t="s">
        <v>301</v>
      </c>
      <c r="F1" s="259"/>
      <c r="G1" s="177"/>
      <c r="H1" s="177"/>
      <c r="I1" s="178"/>
      <c r="J1" s="179"/>
      <c r="K1" s="179"/>
      <c r="L1" s="173"/>
    </row>
    <row r="2" spans="1:12" s="123" customFormat="1">
      <c r="A2" s="124" t="s">
        <v>0</v>
      </c>
      <c r="G2" s="177"/>
      <c r="H2" s="177"/>
      <c r="I2" s="178"/>
      <c r="J2" s="179"/>
      <c r="K2" s="179"/>
      <c r="L2" s="173"/>
    </row>
    <row r="3" spans="1:12" s="123" customFormat="1" ht="19.5">
      <c r="A3" s="326" t="s">
        <v>46</v>
      </c>
      <c r="B3" s="326"/>
      <c r="C3" s="326"/>
      <c r="D3" s="326"/>
      <c r="E3" s="326"/>
      <c r="F3" s="326"/>
      <c r="G3" s="177"/>
      <c r="H3" s="177"/>
      <c r="I3" s="178"/>
      <c r="J3" s="179"/>
      <c r="K3" s="179"/>
      <c r="L3" s="173"/>
    </row>
    <row r="4" spans="1:12" s="123" customFormat="1" ht="19.5">
      <c r="A4" s="327" t="s">
        <v>2</v>
      </c>
      <c r="B4" s="327"/>
      <c r="C4" s="327"/>
      <c r="D4" s="327"/>
      <c r="E4" s="327"/>
      <c r="F4" s="327"/>
      <c r="G4" s="177"/>
      <c r="H4" s="177"/>
      <c r="I4" s="178"/>
      <c r="J4" s="179"/>
      <c r="K4" s="179"/>
      <c r="L4" s="173"/>
    </row>
    <row r="5" spans="1:12" s="123" customFormat="1">
      <c r="A5" s="124" t="s">
        <v>0</v>
      </c>
      <c r="G5" s="177"/>
      <c r="H5" s="177"/>
      <c r="I5" s="178"/>
      <c r="J5" s="179"/>
      <c r="K5" s="179"/>
      <c r="L5" s="173"/>
    </row>
    <row r="6" spans="1:12" ht="22.5" customHeight="1">
      <c r="A6" s="126" t="s">
        <v>0</v>
      </c>
      <c r="F6" s="125" t="s">
        <v>3</v>
      </c>
    </row>
    <row r="7" spans="1:12" ht="19.5" customHeight="1">
      <c r="A7" s="329" t="s">
        <v>182</v>
      </c>
      <c r="B7" s="331" t="s">
        <v>47</v>
      </c>
      <c r="C7" s="331" t="s">
        <v>70</v>
      </c>
      <c r="D7" s="331" t="s">
        <v>73</v>
      </c>
      <c r="E7" s="328" t="s">
        <v>346</v>
      </c>
      <c r="F7" s="328"/>
    </row>
    <row r="8" spans="1:12" ht="36" customHeight="1">
      <c r="A8" s="330"/>
      <c r="B8" s="332"/>
      <c r="C8" s="332"/>
      <c r="D8" s="332"/>
      <c r="E8" s="129" t="s">
        <v>184</v>
      </c>
      <c r="F8" s="129" t="s">
        <v>340</v>
      </c>
    </row>
    <row r="9" spans="1:12" ht="23.25" customHeight="1">
      <c r="A9" s="130"/>
      <c r="B9" s="138" t="s">
        <v>48</v>
      </c>
      <c r="C9" s="163">
        <f>C10+C11+C46+C47</f>
        <v>368798000000</v>
      </c>
      <c r="D9" s="163">
        <f>D10+D11+D46+D47</f>
        <v>442186615583</v>
      </c>
      <c r="E9" s="163">
        <f>E10+E11+E46+E47</f>
        <v>82526615583</v>
      </c>
      <c r="F9" s="136">
        <f>D9/C9</f>
        <v>1.1989940715052685</v>
      </c>
    </row>
    <row r="10" spans="1:12" s="139" customFormat="1" ht="33">
      <c r="A10" s="134" t="s">
        <v>9</v>
      </c>
      <c r="B10" s="135" t="s">
        <v>302</v>
      </c>
      <c r="C10" s="164">
        <f>60325000000+606000000</f>
        <v>60931000000</v>
      </c>
      <c r="D10" s="164">
        <v>64300019212</v>
      </c>
      <c r="E10" s="164">
        <f>D10-C10</f>
        <v>3369019212</v>
      </c>
      <c r="F10" s="136">
        <f>D10/C10</f>
        <v>1.055292366972477</v>
      </c>
      <c r="G10" s="180"/>
      <c r="H10" s="180"/>
      <c r="I10" s="181"/>
      <c r="J10" s="182"/>
      <c r="K10" s="182"/>
      <c r="L10" s="175"/>
    </row>
    <row r="11" spans="1:12" s="139" customFormat="1" ht="33">
      <c r="A11" s="134" t="s">
        <v>26</v>
      </c>
      <c r="B11" s="135" t="s">
        <v>303</v>
      </c>
      <c r="C11" s="164">
        <f>C12+C28+C42+C43+C44+C45</f>
        <v>307867000000</v>
      </c>
      <c r="D11" s="164">
        <f t="shared" ref="D11:E11" si="0">D12+D28+D42+D43+D44+D45</f>
        <v>322039518611</v>
      </c>
      <c r="E11" s="164">
        <f t="shared" si="0"/>
        <v>23310518611</v>
      </c>
      <c r="F11" s="136">
        <f t="shared" ref="F11:F41" si="1">D11/C11</f>
        <v>1.0460345493703449</v>
      </c>
      <c r="G11" s="180">
        <v>368978000000</v>
      </c>
      <c r="H11" s="180"/>
      <c r="I11" s="181"/>
      <c r="J11" s="182"/>
      <c r="K11" s="182"/>
      <c r="L11" s="175"/>
    </row>
    <row r="12" spans="1:12">
      <c r="A12" s="134" t="s">
        <v>11</v>
      </c>
      <c r="B12" s="135" t="s">
        <v>12</v>
      </c>
      <c r="C12" s="164">
        <f>C13+C27</f>
        <v>65563000000</v>
      </c>
      <c r="D12" s="164">
        <f t="shared" ref="D12:E12" si="2">D13+D27</f>
        <v>73796675344</v>
      </c>
      <c r="E12" s="164">
        <f t="shared" si="2"/>
        <v>8333675344</v>
      </c>
      <c r="F12" s="136">
        <f t="shared" si="1"/>
        <v>1.1255841761969403</v>
      </c>
      <c r="G12" s="183">
        <f>C9-G11</f>
        <v>-180000000</v>
      </c>
    </row>
    <row r="13" spans="1:12">
      <c r="A13" s="131" t="s">
        <v>13</v>
      </c>
      <c r="B13" s="132" t="s">
        <v>14</v>
      </c>
      <c r="C13" s="165">
        <f>SUM(C14:C26)</f>
        <v>65463000000</v>
      </c>
      <c r="D13" s="165">
        <f t="shared" ref="D13" si="3">SUM(D14:D26)</f>
        <v>73796675344</v>
      </c>
      <c r="E13" s="165">
        <f>SUM(E14:E26)</f>
        <v>8333675344</v>
      </c>
      <c r="F13" s="133">
        <f t="shared" si="1"/>
        <v>1.1273035965965508</v>
      </c>
    </row>
    <row r="14" spans="1:12" ht="33">
      <c r="A14" s="131" t="s">
        <v>15</v>
      </c>
      <c r="B14" s="132" t="s">
        <v>16</v>
      </c>
      <c r="C14" s="165">
        <v>2749921000</v>
      </c>
      <c r="D14" s="165">
        <v>3867422081</v>
      </c>
      <c r="E14" s="165">
        <f>D14-C14</f>
        <v>1117501081</v>
      </c>
      <c r="F14" s="133">
        <f t="shared" si="1"/>
        <v>1.4063757035202102</v>
      </c>
    </row>
    <row r="15" spans="1:12">
      <c r="A15" s="131" t="s">
        <v>15</v>
      </c>
      <c r="B15" s="132" t="s">
        <v>17</v>
      </c>
      <c r="C15" s="165"/>
      <c r="D15" s="165"/>
      <c r="E15" s="165"/>
      <c r="F15" s="133"/>
    </row>
    <row r="16" spans="1:12">
      <c r="A16" s="131" t="s">
        <v>15</v>
      </c>
      <c r="B16" s="132" t="s">
        <v>50</v>
      </c>
      <c r="C16" s="165"/>
      <c r="D16" s="165"/>
      <c r="E16" s="165"/>
      <c r="F16" s="133"/>
      <c r="G16" s="177">
        <v>367889000000</v>
      </c>
    </row>
    <row r="17" spans="1:11" ht="33">
      <c r="A17" s="131" t="s">
        <v>15</v>
      </c>
      <c r="B17" s="132" t="s">
        <v>51</v>
      </c>
      <c r="C17" s="165"/>
      <c r="D17" s="165"/>
      <c r="E17" s="165"/>
      <c r="F17" s="133"/>
      <c r="G17" s="177">
        <f>G16-G10</f>
        <v>367889000000</v>
      </c>
    </row>
    <row r="18" spans="1:11">
      <c r="A18" s="131" t="s">
        <v>15</v>
      </c>
      <c r="B18" s="132" t="s">
        <v>52</v>
      </c>
      <c r="C18" s="165">
        <v>0</v>
      </c>
      <c r="D18" s="165">
        <v>65001000</v>
      </c>
      <c r="E18" s="165">
        <f t="shared" ref="E18:E24" si="4">D18-C18</f>
        <v>65001000</v>
      </c>
      <c r="F18" s="133"/>
    </row>
    <row r="19" spans="1:11">
      <c r="A19" s="131" t="s">
        <v>15</v>
      </c>
      <c r="B19" s="132" t="s">
        <v>53</v>
      </c>
      <c r="C19" s="165">
        <v>9149991000</v>
      </c>
      <c r="D19" s="165">
        <v>10178154797</v>
      </c>
      <c r="E19" s="165">
        <f t="shared" si="4"/>
        <v>1028163797</v>
      </c>
      <c r="F19" s="133">
        <f t="shared" si="1"/>
        <v>1.1123677386130761</v>
      </c>
    </row>
    <row r="20" spans="1:11" ht="33">
      <c r="A20" s="131" t="s">
        <v>15</v>
      </c>
      <c r="B20" s="132" t="s">
        <v>54</v>
      </c>
      <c r="C20" s="165"/>
      <c r="D20" s="165"/>
      <c r="E20" s="165"/>
      <c r="F20" s="133"/>
    </row>
    <row r="21" spans="1:11">
      <c r="A21" s="131" t="s">
        <v>15</v>
      </c>
      <c r="B21" s="132" t="s">
        <v>55</v>
      </c>
      <c r="C21" s="165">
        <v>1006494000</v>
      </c>
      <c r="D21" s="165">
        <v>1010154000</v>
      </c>
      <c r="E21" s="165">
        <f t="shared" si="4"/>
        <v>3660000</v>
      </c>
      <c r="F21" s="133">
        <f t="shared" si="1"/>
        <v>1.0036363853137724</v>
      </c>
    </row>
    <row r="22" spans="1:11">
      <c r="A22" s="131" t="s">
        <v>15</v>
      </c>
      <c r="B22" s="132" t="s">
        <v>56</v>
      </c>
      <c r="C22" s="165"/>
      <c r="D22" s="165"/>
      <c r="E22" s="165"/>
      <c r="F22" s="133"/>
    </row>
    <row r="23" spans="1:11">
      <c r="A23" s="131" t="s">
        <v>15</v>
      </c>
      <c r="B23" s="132" t="s">
        <v>57</v>
      </c>
      <c r="C23" s="165">
        <v>52050594000</v>
      </c>
      <c r="D23" s="165">
        <v>57957162737</v>
      </c>
      <c r="E23" s="165">
        <f t="shared" si="4"/>
        <v>5906568737</v>
      </c>
      <c r="F23" s="133">
        <f t="shared" si="1"/>
        <v>1.1134774511314895</v>
      </c>
    </row>
    <row r="24" spans="1:11" ht="49.5">
      <c r="A24" s="131" t="s">
        <v>15</v>
      </c>
      <c r="B24" s="132" t="s">
        <v>58</v>
      </c>
      <c r="C24" s="165">
        <v>506000000</v>
      </c>
      <c r="D24" s="165">
        <v>718780729</v>
      </c>
      <c r="E24" s="165">
        <f t="shared" si="4"/>
        <v>212780729</v>
      </c>
      <c r="F24" s="133">
        <f t="shared" si="1"/>
        <v>1.4205152747035572</v>
      </c>
    </row>
    <row r="25" spans="1:11">
      <c r="A25" s="131" t="s">
        <v>15</v>
      </c>
      <c r="B25" s="132" t="s">
        <v>59</v>
      </c>
      <c r="C25" s="165"/>
      <c r="D25" s="165"/>
      <c r="E25" s="165"/>
      <c r="F25" s="133"/>
    </row>
    <row r="26" spans="1:11">
      <c r="A26" s="131" t="s">
        <v>15</v>
      </c>
      <c r="B26" s="132" t="s">
        <v>60</v>
      </c>
      <c r="C26" s="165"/>
      <c r="D26" s="165"/>
      <c r="E26" s="165"/>
      <c r="F26" s="133"/>
    </row>
    <row r="27" spans="1:11">
      <c r="A27" s="131">
        <v>2</v>
      </c>
      <c r="B27" s="132" t="s">
        <v>61</v>
      </c>
      <c r="C27" s="165">
        <v>100000000</v>
      </c>
      <c r="D27" s="165" t="s">
        <v>49</v>
      </c>
      <c r="E27" s="165"/>
      <c r="F27" s="133">
        <f t="shared" si="1"/>
        <v>0</v>
      </c>
      <c r="G27" s="184" t="s">
        <v>345</v>
      </c>
      <c r="H27" s="184" t="s">
        <v>341</v>
      </c>
      <c r="I27" s="181" t="s">
        <v>342</v>
      </c>
      <c r="J27" s="185" t="s">
        <v>343</v>
      </c>
      <c r="K27" s="185" t="s">
        <v>344</v>
      </c>
    </row>
    <row r="28" spans="1:11">
      <c r="A28" s="134" t="s">
        <v>19</v>
      </c>
      <c r="B28" s="135" t="s">
        <v>20</v>
      </c>
      <c r="C28" s="164">
        <f>SUM(C29:C41)</f>
        <v>233266000000</v>
      </c>
      <c r="D28" s="164">
        <f t="shared" ref="D28:E28" si="5">SUM(D29:D41)</f>
        <v>248242843267</v>
      </c>
      <c r="E28" s="164">
        <f t="shared" si="5"/>
        <v>14976843267</v>
      </c>
      <c r="F28" s="136">
        <f t="shared" si="1"/>
        <v>1.0642049988725317</v>
      </c>
      <c r="G28" s="186">
        <f>SUM(G29:G41)</f>
        <v>209705000000</v>
      </c>
      <c r="H28" s="186">
        <f>SUM(H29:H41)</f>
        <v>47522000000</v>
      </c>
      <c r="I28" s="186">
        <f>SUM(I29:I41)</f>
        <v>257227000000</v>
      </c>
      <c r="J28" s="186">
        <f t="shared" ref="J28:K28" si="6">SUM(J29:J41)</f>
        <v>23561000000</v>
      </c>
      <c r="K28" s="186">
        <f t="shared" si="6"/>
        <v>11845000000</v>
      </c>
    </row>
    <row r="29" spans="1:11" ht="33">
      <c r="A29" s="137" t="s">
        <v>13</v>
      </c>
      <c r="B29" s="132" t="s">
        <v>16</v>
      </c>
      <c r="C29" s="171">
        <f>G29+J29</f>
        <v>162404000000</v>
      </c>
      <c r="D29" s="165">
        <v>167323387315</v>
      </c>
      <c r="E29" s="165">
        <f>D29-C29</f>
        <v>4919387315</v>
      </c>
      <c r="F29" s="133">
        <f t="shared" si="1"/>
        <v>1.0302910477266569</v>
      </c>
      <c r="G29" s="176">
        <v>150365000000</v>
      </c>
      <c r="I29" s="183">
        <f>G29+H29</f>
        <v>150365000000</v>
      </c>
      <c r="J29" s="179">
        <f>7665000000+4374000000</f>
        <v>12039000000</v>
      </c>
      <c r="K29" s="179">
        <v>93849000</v>
      </c>
    </row>
    <row r="30" spans="1:11">
      <c r="A30" s="137" t="s">
        <v>21</v>
      </c>
      <c r="B30" s="132" t="s">
        <v>339</v>
      </c>
      <c r="C30" s="171">
        <f t="shared" ref="C30:C41" si="7">G30+J30</f>
        <v>135000000</v>
      </c>
      <c r="D30" s="165">
        <v>135000000</v>
      </c>
      <c r="E30" s="165">
        <f t="shared" ref="E30:E41" si="8">D30-C30</f>
        <v>0</v>
      </c>
      <c r="F30" s="133">
        <f t="shared" si="1"/>
        <v>1</v>
      </c>
      <c r="G30" s="176">
        <v>135000000</v>
      </c>
      <c r="I30" s="183">
        <f t="shared" ref="I30:I41" si="9">G30+H30</f>
        <v>135000000</v>
      </c>
    </row>
    <row r="31" spans="1:11">
      <c r="A31" s="137" t="s">
        <v>30</v>
      </c>
      <c r="B31" s="132" t="s">
        <v>50</v>
      </c>
      <c r="C31" s="171">
        <f t="shared" si="7"/>
        <v>4254000000</v>
      </c>
      <c r="D31" s="165">
        <v>5128908840</v>
      </c>
      <c r="E31" s="165">
        <f t="shared" si="8"/>
        <v>874908840</v>
      </c>
      <c r="F31" s="133">
        <f t="shared" si="1"/>
        <v>1.2056673342736248</v>
      </c>
      <c r="G31" s="176">
        <f>8192000000-1940000000-105000000-150000000-1740000000-153000000</f>
        <v>4104000000</v>
      </c>
      <c r="H31" s="177">
        <f>1940000000+105000000+150000000+1740000000+153000000</f>
        <v>4088000000</v>
      </c>
      <c r="I31" s="183">
        <f t="shared" si="9"/>
        <v>8192000000</v>
      </c>
      <c r="J31" s="179">
        <v>150000000</v>
      </c>
      <c r="K31" s="179">
        <v>150000000</v>
      </c>
    </row>
    <row r="32" spans="1:11" ht="33">
      <c r="A32" s="137" t="s">
        <v>31</v>
      </c>
      <c r="B32" s="132" t="s">
        <v>51</v>
      </c>
      <c r="C32" s="171">
        <f t="shared" si="7"/>
        <v>1910000000</v>
      </c>
      <c r="D32" s="165">
        <v>2033481181</v>
      </c>
      <c r="E32" s="165">
        <f t="shared" si="8"/>
        <v>123481181</v>
      </c>
      <c r="F32" s="133">
        <f t="shared" si="1"/>
        <v>1.0646498329842933</v>
      </c>
      <c r="G32" s="176">
        <f>1620000000+200000000</f>
        <v>1820000000</v>
      </c>
      <c r="H32" s="177">
        <v>80000000</v>
      </c>
      <c r="I32" s="183">
        <f t="shared" si="9"/>
        <v>1900000000</v>
      </c>
      <c r="J32" s="179">
        <v>90000000</v>
      </c>
    </row>
    <row r="33" spans="1:12">
      <c r="A33" s="137" t="s">
        <v>32</v>
      </c>
      <c r="B33" s="132" t="s">
        <v>52</v>
      </c>
      <c r="C33" s="171"/>
      <c r="D33" s="165"/>
      <c r="E33" s="165"/>
      <c r="F33" s="133"/>
      <c r="G33" s="176"/>
      <c r="I33" s="183">
        <f t="shared" si="9"/>
        <v>0</v>
      </c>
    </row>
    <row r="34" spans="1:12">
      <c r="A34" s="137" t="s">
        <v>33</v>
      </c>
      <c r="B34" s="132" t="s">
        <v>53</v>
      </c>
      <c r="C34" s="171">
        <f t="shared" si="7"/>
        <v>1010000000</v>
      </c>
      <c r="D34" s="165">
        <v>1178179381</v>
      </c>
      <c r="E34" s="165">
        <f t="shared" si="8"/>
        <v>168179381</v>
      </c>
      <c r="F34" s="133">
        <f t="shared" si="1"/>
        <v>1.1665142386138614</v>
      </c>
      <c r="G34" s="176">
        <v>1010000000</v>
      </c>
      <c r="I34" s="183">
        <f t="shared" si="9"/>
        <v>1010000000</v>
      </c>
      <c r="K34" s="179">
        <v>1470000000</v>
      </c>
    </row>
    <row r="35" spans="1:12" ht="33">
      <c r="A35" s="137" t="s">
        <v>34</v>
      </c>
      <c r="B35" s="132" t="s">
        <v>54</v>
      </c>
      <c r="C35" s="171">
        <f t="shared" si="7"/>
        <v>1418000000</v>
      </c>
      <c r="D35" s="165">
        <v>1432527245</v>
      </c>
      <c r="E35" s="165">
        <f t="shared" si="8"/>
        <v>14527245</v>
      </c>
      <c r="F35" s="133">
        <f t="shared" si="1"/>
        <v>1.0102448836389282</v>
      </c>
      <c r="G35" s="176">
        <f>1506000000-33000000-55000000</f>
        <v>1418000000</v>
      </c>
      <c r="H35" s="177">
        <f>33000000+55000000</f>
        <v>88000000</v>
      </c>
      <c r="I35" s="183">
        <f t="shared" si="9"/>
        <v>1506000000</v>
      </c>
    </row>
    <row r="36" spans="1:12">
      <c r="A36" s="137" t="s">
        <v>35</v>
      </c>
      <c r="B36" s="132" t="s">
        <v>55</v>
      </c>
      <c r="C36" s="171">
        <f t="shared" si="7"/>
        <v>272000000</v>
      </c>
      <c r="D36" s="165">
        <v>722000000</v>
      </c>
      <c r="E36" s="165">
        <f t="shared" si="8"/>
        <v>450000000</v>
      </c>
      <c r="F36" s="133">
        <f t="shared" si="1"/>
        <v>2.6544117647058822</v>
      </c>
      <c r="G36" s="176">
        <f>452000000-180000000</f>
        <v>272000000</v>
      </c>
      <c r="H36" s="177">
        <v>180000000</v>
      </c>
      <c r="I36" s="183">
        <f t="shared" si="9"/>
        <v>452000000</v>
      </c>
      <c r="K36" s="179">
        <v>160000000</v>
      </c>
    </row>
    <row r="37" spans="1:12">
      <c r="A37" s="137" t="s">
        <v>36</v>
      </c>
      <c r="B37" s="132" t="s">
        <v>56</v>
      </c>
      <c r="C37" s="171">
        <f t="shared" si="7"/>
        <v>2131000000</v>
      </c>
      <c r="D37" s="165">
        <v>1710973027</v>
      </c>
      <c r="E37" s="165">
        <f t="shared" si="8"/>
        <v>-420026973</v>
      </c>
      <c r="F37" s="133">
        <f t="shared" si="1"/>
        <v>0.80289677475363674</v>
      </c>
      <c r="G37" s="176">
        <v>1631000000</v>
      </c>
      <c r="I37" s="183">
        <f t="shared" si="9"/>
        <v>1631000000</v>
      </c>
      <c r="J37" s="179">
        <v>500000000</v>
      </c>
      <c r="K37" s="179">
        <v>495295000</v>
      </c>
    </row>
    <row r="38" spans="1:12">
      <c r="A38" s="137" t="s">
        <v>37</v>
      </c>
      <c r="B38" s="132" t="s">
        <v>57</v>
      </c>
      <c r="C38" s="171">
        <f t="shared" si="7"/>
        <v>15895000000</v>
      </c>
      <c r="D38" s="165">
        <v>23330152859</v>
      </c>
      <c r="E38" s="165">
        <f t="shared" si="8"/>
        <v>7435152859</v>
      </c>
      <c r="F38" s="133">
        <f t="shared" si="1"/>
        <v>1.4677667731362063</v>
      </c>
      <c r="G38" s="177">
        <f>357000000+440000000+6351000000+5600000000-112000000-9000000-150000000-120000000-100000000</f>
        <v>12257000000</v>
      </c>
      <c r="H38" s="177">
        <f>112000000+9000000+150000000+120000000+100000000</f>
        <v>491000000</v>
      </c>
      <c r="I38" s="183">
        <f t="shared" si="9"/>
        <v>12748000000</v>
      </c>
      <c r="J38" s="179">
        <f>492000000+1646000000+1500000000</f>
        <v>3638000000</v>
      </c>
      <c r="K38" s="179">
        <f>553000000+152000000+1071000000+330000000+5361856000</f>
        <v>7467856000</v>
      </c>
    </row>
    <row r="39" spans="1:12" ht="49.5">
      <c r="A39" s="137" t="s">
        <v>38</v>
      </c>
      <c r="B39" s="132" t="s">
        <v>58</v>
      </c>
      <c r="C39" s="171">
        <f t="shared" si="7"/>
        <v>30590000000</v>
      </c>
      <c r="D39" s="165">
        <v>32317558751</v>
      </c>
      <c r="E39" s="165">
        <f t="shared" si="8"/>
        <v>1727558751</v>
      </c>
      <c r="F39" s="133">
        <f t="shared" si="1"/>
        <v>1.0564746240928409</v>
      </c>
      <c r="G39" s="176">
        <f>13904000000+7781000000+4295000000+36000000+1065000000+284000000+118000000</f>
        <v>27483000000</v>
      </c>
      <c r="H39" s="177">
        <f>40803000000+916000000</f>
        <v>41719000000</v>
      </c>
      <c r="I39" s="183">
        <f t="shared" si="9"/>
        <v>69202000000</v>
      </c>
      <c r="J39" s="179">
        <f>110000000+8000000+104000000+34000000+413000000+350000000+2088000000</f>
        <v>3107000000</v>
      </c>
      <c r="K39" s="179">
        <f>10000000+280000000+90000000+1360000000+268000000</f>
        <v>2008000000</v>
      </c>
    </row>
    <row r="40" spans="1:12">
      <c r="A40" s="137" t="s">
        <v>39</v>
      </c>
      <c r="B40" s="132" t="s">
        <v>59</v>
      </c>
      <c r="C40" s="171">
        <f t="shared" si="7"/>
        <v>11028000000</v>
      </c>
      <c r="D40" s="165">
        <v>12720809550</v>
      </c>
      <c r="E40" s="165">
        <f t="shared" si="8"/>
        <v>1692809550</v>
      </c>
      <c r="F40" s="133">
        <f t="shared" si="1"/>
        <v>1.1535010473340588</v>
      </c>
      <c r="G40" s="176">
        <f>7867000000-30000000-30000000-816000000</f>
        <v>6991000000</v>
      </c>
      <c r="H40" s="177">
        <f>30000000+30000000+816000000</f>
        <v>876000000</v>
      </c>
      <c r="I40" s="183">
        <f t="shared" si="9"/>
        <v>7867000000</v>
      </c>
      <c r="J40" s="179">
        <f>38000000+3999000000</f>
        <v>4037000000</v>
      </c>
    </row>
    <row r="41" spans="1:12">
      <c r="A41" s="137" t="s">
        <v>40</v>
      </c>
      <c r="B41" s="132" t="s">
        <v>62</v>
      </c>
      <c r="C41" s="171">
        <f t="shared" si="7"/>
        <v>2219000000</v>
      </c>
      <c r="D41" s="165">
        <v>209865118</v>
      </c>
      <c r="E41" s="165">
        <f t="shared" si="8"/>
        <v>-2009134882</v>
      </c>
      <c r="F41" s="133">
        <f t="shared" si="1"/>
        <v>9.4576438936457868E-2</v>
      </c>
      <c r="G41" s="176">
        <f>800000000+1419000000</f>
        <v>2219000000</v>
      </c>
      <c r="I41" s="183">
        <f t="shared" si="9"/>
        <v>2219000000</v>
      </c>
    </row>
    <row r="42" spans="1:12" s="139" customFormat="1" ht="49.5">
      <c r="A42" s="134" t="s">
        <v>63</v>
      </c>
      <c r="B42" s="135" t="s">
        <v>200</v>
      </c>
      <c r="C42" s="164"/>
      <c r="D42" s="164"/>
      <c r="E42" s="164"/>
      <c r="F42" s="166"/>
      <c r="G42" s="180"/>
      <c r="H42" s="180"/>
      <c r="I42" s="180"/>
      <c r="J42" s="182"/>
      <c r="K42" s="182"/>
      <c r="L42" s="175"/>
    </row>
    <row r="43" spans="1:12" s="139" customFormat="1" ht="33">
      <c r="A43" s="134" t="s">
        <v>64</v>
      </c>
      <c r="B43" s="135" t="s">
        <v>296</v>
      </c>
      <c r="C43" s="164"/>
      <c r="D43" s="164"/>
      <c r="E43" s="164"/>
      <c r="F43" s="166"/>
      <c r="G43" s="180"/>
      <c r="H43" s="180"/>
      <c r="I43" s="180"/>
      <c r="J43" s="182"/>
      <c r="K43" s="182"/>
      <c r="L43" s="175"/>
    </row>
    <row r="44" spans="1:12" s="139" customFormat="1">
      <c r="A44" s="134" t="s">
        <v>22</v>
      </c>
      <c r="B44" s="135" t="s">
        <v>23</v>
      </c>
      <c r="C44" s="164">
        <v>4592000000</v>
      </c>
      <c r="D44" s="164" t="s">
        <v>49</v>
      </c>
      <c r="E44" s="164" t="s">
        <v>49</v>
      </c>
      <c r="F44" s="166"/>
      <c r="G44" s="180"/>
      <c r="H44" s="180"/>
      <c r="I44" s="180">
        <v>4592000000</v>
      </c>
      <c r="J44" s="182"/>
      <c r="K44" s="182">
        <v>958000000</v>
      </c>
      <c r="L44" s="175"/>
    </row>
    <row r="45" spans="1:12" s="139" customFormat="1" ht="33">
      <c r="A45" s="134" t="s">
        <v>24</v>
      </c>
      <c r="B45" s="135" t="s">
        <v>25</v>
      </c>
      <c r="C45" s="164">
        <v>4446000000</v>
      </c>
      <c r="D45" s="164" t="s">
        <v>49</v>
      </c>
      <c r="E45" s="164" t="s">
        <v>49</v>
      </c>
      <c r="F45" s="166"/>
      <c r="G45" s="180"/>
      <c r="H45" s="180"/>
      <c r="I45" s="180">
        <f>4446000000</f>
        <v>4446000000</v>
      </c>
      <c r="J45" s="182"/>
      <c r="K45" s="182"/>
      <c r="L45" s="175"/>
    </row>
    <row r="46" spans="1:12" s="139" customFormat="1" ht="33">
      <c r="A46" s="134" t="s">
        <v>44</v>
      </c>
      <c r="B46" s="135" t="s">
        <v>45</v>
      </c>
      <c r="C46" s="164">
        <v>0</v>
      </c>
      <c r="D46" s="164">
        <v>52850512836</v>
      </c>
      <c r="E46" s="164">
        <f>51790927200+1059585636</f>
        <v>52850512836</v>
      </c>
      <c r="F46" s="136"/>
      <c r="G46" s="180"/>
      <c r="H46" s="180"/>
      <c r="I46" s="180"/>
      <c r="J46" s="182">
        <v>2088000000</v>
      </c>
      <c r="K46" s="182"/>
      <c r="L46" s="175"/>
    </row>
    <row r="47" spans="1:12" s="139" customFormat="1" ht="33">
      <c r="A47" s="167" t="s">
        <v>206</v>
      </c>
      <c r="B47" s="168" t="s">
        <v>338</v>
      </c>
      <c r="C47" s="169">
        <v>0</v>
      </c>
      <c r="D47" s="169">
        <v>2996564924</v>
      </c>
      <c r="E47" s="169">
        <f>D47</f>
        <v>2996564924</v>
      </c>
      <c r="F47" s="170"/>
      <c r="G47" s="180"/>
      <c r="H47" s="180"/>
      <c r="I47" s="180"/>
      <c r="J47" s="182">
        <f>K29+K34+K36+K37+5361856000+268000000</f>
        <v>7849000000</v>
      </c>
      <c r="K47" s="182"/>
      <c r="L47" s="175"/>
    </row>
    <row r="48" spans="1:12" s="123" customFormat="1" ht="7.5" customHeight="1">
      <c r="A48" s="124" t="s">
        <v>0</v>
      </c>
      <c r="G48" s="177"/>
      <c r="H48" s="177"/>
      <c r="I48" s="177"/>
      <c r="J48" s="179"/>
      <c r="K48" s="179"/>
      <c r="L48" s="173"/>
    </row>
    <row r="49" spans="1:12" s="123" customFormat="1" ht="36.75" customHeight="1">
      <c r="A49" s="325" t="s">
        <v>337</v>
      </c>
      <c r="B49" s="325"/>
      <c r="C49" s="325"/>
      <c r="D49" s="325"/>
      <c r="E49" s="325"/>
      <c r="F49" s="325"/>
      <c r="G49" s="177"/>
      <c r="H49" s="177"/>
      <c r="I49" s="178"/>
      <c r="J49" s="179"/>
      <c r="K49" s="179"/>
      <c r="L49" s="173"/>
    </row>
    <row r="50" spans="1:12" s="123" customFormat="1">
      <c r="A50" s="128"/>
      <c r="G50" s="177"/>
      <c r="H50" s="177"/>
      <c r="I50" s="178"/>
      <c r="J50" s="179"/>
      <c r="K50" s="179"/>
      <c r="L50" s="173"/>
    </row>
    <row r="51" spans="1:12" s="123" customFormat="1">
      <c r="G51" s="177"/>
      <c r="H51" s="177"/>
      <c r="I51" s="178"/>
      <c r="J51" s="179"/>
      <c r="K51" s="179"/>
      <c r="L51" s="173"/>
    </row>
    <row r="52" spans="1:12" s="123" customFormat="1">
      <c r="G52" s="177"/>
      <c r="H52" s="177"/>
      <c r="I52" s="178"/>
      <c r="J52" s="179"/>
      <c r="K52" s="179"/>
      <c r="L52" s="173"/>
    </row>
    <row r="53" spans="1:12" s="123" customFormat="1">
      <c r="G53" s="177"/>
      <c r="H53" s="177"/>
      <c r="I53" s="178"/>
      <c r="J53" s="179"/>
      <c r="K53" s="179"/>
      <c r="L53" s="173"/>
    </row>
    <row r="54" spans="1:12" s="123" customFormat="1">
      <c r="G54" s="177"/>
      <c r="H54" s="177"/>
      <c r="I54" s="178"/>
      <c r="J54" s="179"/>
      <c r="K54" s="179"/>
      <c r="L54" s="173"/>
    </row>
    <row r="55" spans="1:12" s="123" customFormat="1">
      <c r="G55" s="177"/>
      <c r="H55" s="177"/>
      <c r="I55" s="178"/>
      <c r="J55" s="179"/>
      <c r="K55" s="179"/>
      <c r="L55" s="173"/>
    </row>
    <row r="56" spans="1:12" s="123" customFormat="1">
      <c r="G56" s="177"/>
      <c r="H56" s="177"/>
      <c r="I56" s="178"/>
      <c r="J56" s="179"/>
      <c r="K56" s="179"/>
      <c r="L56" s="173"/>
    </row>
    <row r="57" spans="1:12" s="123" customFormat="1">
      <c r="G57" s="177"/>
      <c r="H57" s="177"/>
      <c r="I57" s="178"/>
      <c r="J57" s="179"/>
      <c r="K57" s="179"/>
      <c r="L57" s="173"/>
    </row>
    <row r="58" spans="1:12" s="123" customFormat="1">
      <c r="G58" s="177"/>
      <c r="H58" s="177"/>
      <c r="I58" s="178"/>
      <c r="J58" s="179"/>
      <c r="K58" s="179"/>
      <c r="L58" s="173"/>
    </row>
    <row r="59" spans="1:12" s="123" customFormat="1">
      <c r="G59" s="177"/>
      <c r="H59" s="177"/>
      <c r="I59" s="178"/>
      <c r="J59" s="179"/>
      <c r="K59" s="179"/>
      <c r="L59" s="173"/>
    </row>
    <row r="60" spans="1:12" s="123" customFormat="1">
      <c r="G60" s="177"/>
      <c r="H60" s="177"/>
      <c r="I60" s="178"/>
      <c r="J60" s="179"/>
      <c r="K60" s="179"/>
      <c r="L60" s="173"/>
    </row>
    <row r="61" spans="1:12" s="123" customFormat="1">
      <c r="G61" s="177"/>
      <c r="H61" s="177"/>
      <c r="I61" s="178"/>
      <c r="J61" s="179"/>
      <c r="K61" s="179"/>
      <c r="L61" s="173"/>
    </row>
    <row r="62" spans="1:12" s="123" customFormat="1">
      <c r="G62" s="177"/>
      <c r="H62" s="177"/>
      <c r="I62" s="178"/>
      <c r="J62" s="179"/>
      <c r="K62" s="179"/>
      <c r="L62" s="173"/>
    </row>
    <row r="63" spans="1:12" s="123" customFormat="1">
      <c r="G63" s="177"/>
      <c r="H63" s="177"/>
      <c r="I63" s="178"/>
      <c r="J63" s="179"/>
      <c r="K63" s="179"/>
      <c r="L63" s="173"/>
    </row>
    <row r="64" spans="1:12" s="123" customFormat="1">
      <c r="G64" s="177"/>
      <c r="H64" s="177"/>
      <c r="I64" s="178"/>
      <c r="J64" s="179"/>
      <c r="K64" s="179"/>
      <c r="L64" s="173"/>
    </row>
    <row r="65" spans="7:12" s="123" customFormat="1">
      <c r="G65" s="177"/>
      <c r="H65" s="177"/>
      <c r="I65" s="178"/>
      <c r="J65" s="179"/>
      <c r="K65" s="179"/>
      <c r="L65" s="173"/>
    </row>
    <row r="66" spans="7:12" s="123" customFormat="1">
      <c r="G66" s="177"/>
      <c r="H66" s="177"/>
      <c r="I66" s="178"/>
      <c r="J66" s="179"/>
      <c r="K66" s="179"/>
      <c r="L66" s="173"/>
    </row>
    <row r="67" spans="7:12" s="123" customFormat="1">
      <c r="G67" s="177"/>
      <c r="H67" s="177"/>
      <c r="I67" s="178"/>
      <c r="J67" s="179"/>
      <c r="K67" s="179"/>
      <c r="L67" s="173"/>
    </row>
    <row r="68" spans="7:12" s="123" customFormat="1">
      <c r="G68" s="177"/>
      <c r="H68" s="177"/>
      <c r="I68" s="178"/>
      <c r="J68" s="179"/>
      <c r="K68" s="179"/>
      <c r="L68" s="173"/>
    </row>
    <row r="69" spans="7:12" s="123" customFormat="1">
      <c r="G69" s="177"/>
      <c r="H69" s="177"/>
      <c r="I69" s="178"/>
      <c r="J69" s="179"/>
      <c r="K69" s="179"/>
      <c r="L69" s="173"/>
    </row>
    <row r="70" spans="7:12" s="123" customFormat="1">
      <c r="G70" s="177"/>
      <c r="H70" s="177"/>
      <c r="I70" s="178"/>
      <c r="J70" s="179"/>
      <c r="K70" s="179"/>
      <c r="L70" s="173"/>
    </row>
    <row r="71" spans="7:12" s="123" customFormat="1">
      <c r="G71" s="177"/>
      <c r="H71" s="177"/>
      <c r="I71" s="178"/>
      <c r="J71" s="179"/>
      <c r="K71" s="179"/>
      <c r="L71" s="173"/>
    </row>
    <row r="72" spans="7:12" s="123" customFormat="1">
      <c r="G72" s="177"/>
      <c r="H72" s="177"/>
      <c r="I72" s="178"/>
      <c r="J72" s="179"/>
      <c r="K72" s="179"/>
      <c r="L72" s="173"/>
    </row>
    <row r="73" spans="7:12" s="123" customFormat="1">
      <c r="G73" s="177"/>
      <c r="H73" s="177"/>
      <c r="I73" s="178"/>
      <c r="J73" s="179"/>
      <c r="K73" s="179"/>
      <c r="L73" s="173"/>
    </row>
    <row r="74" spans="7:12" s="123" customFormat="1">
      <c r="G74" s="177"/>
      <c r="H74" s="177"/>
      <c r="I74" s="178"/>
      <c r="J74" s="179"/>
      <c r="K74" s="179"/>
      <c r="L74" s="173"/>
    </row>
    <row r="75" spans="7:12" s="123" customFormat="1">
      <c r="G75" s="177"/>
      <c r="H75" s="177"/>
      <c r="I75" s="178"/>
      <c r="J75" s="179"/>
      <c r="K75" s="179"/>
      <c r="L75" s="173"/>
    </row>
    <row r="76" spans="7:12" s="123" customFormat="1">
      <c r="G76" s="177"/>
      <c r="H76" s="177"/>
      <c r="I76" s="178"/>
      <c r="J76" s="179"/>
      <c r="K76" s="179"/>
      <c r="L76" s="173"/>
    </row>
    <row r="77" spans="7:12" s="123" customFormat="1">
      <c r="G77" s="177"/>
      <c r="H77" s="177"/>
      <c r="I77" s="178"/>
      <c r="J77" s="179"/>
      <c r="K77" s="179"/>
      <c r="L77" s="173"/>
    </row>
    <row r="78" spans="7:12" s="123" customFormat="1">
      <c r="G78" s="177"/>
      <c r="H78" s="177"/>
      <c r="I78" s="178"/>
      <c r="J78" s="179"/>
      <c r="K78" s="179"/>
      <c r="L78" s="173"/>
    </row>
    <row r="79" spans="7:12" s="123" customFormat="1">
      <c r="G79" s="177"/>
      <c r="H79" s="177"/>
      <c r="I79" s="178"/>
      <c r="J79" s="179"/>
      <c r="K79" s="179"/>
      <c r="L79" s="173"/>
    </row>
    <row r="80" spans="7:12" s="123" customFormat="1">
      <c r="G80" s="177"/>
      <c r="H80" s="177"/>
      <c r="I80" s="178"/>
      <c r="J80" s="179"/>
      <c r="K80" s="179"/>
      <c r="L80" s="173"/>
    </row>
    <row r="81" spans="7:12" s="123" customFormat="1">
      <c r="G81" s="177"/>
      <c r="H81" s="177"/>
      <c r="I81" s="178"/>
      <c r="J81" s="179"/>
      <c r="K81" s="179"/>
      <c r="L81" s="173"/>
    </row>
    <row r="82" spans="7:12" s="123" customFormat="1">
      <c r="G82" s="177"/>
      <c r="H82" s="177"/>
      <c r="I82" s="178"/>
      <c r="J82" s="179"/>
      <c r="K82" s="179"/>
      <c r="L82" s="173"/>
    </row>
    <row r="83" spans="7:12" s="123" customFormat="1">
      <c r="G83" s="177"/>
      <c r="H83" s="177"/>
      <c r="I83" s="178"/>
      <c r="J83" s="179"/>
      <c r="K83" s="179"/>
      <c r="L83" s="173"/>
    </row>
    <row r="84" spans="7:12" s="123" customFormat="1">
      <c r="G84" s="177"/>
      <c r="H84" s="177"/>
      <c r="I84" s="178"/>
      <c r="J84" s="179"/>
      <c r="K84" s="179"/>
      <c r="L84" s="173"/>
    </row>
    <row r="85" spans="7:12" s="123" customFormat="1">
      <c r="G85" s="177"/>
      <c r="H85" s="177"/>
      <c r="I85" s="178"/>
      <c r="J85" s="179"/>
      <c r="K85" s="179"/>
      <c r="L85" s="173"/>
    </row>
    <row r="86" spans="7:12" s="123" customFormat="1">
      <c r="G86" s="177"/>
      <c r="H86" s="177"/>
      <c r="I86" s="178"/>
      <c r="J86" s="179"/>
      <c r="K86" s="179"/>
      <c r="L86" s="173"/>
    </row>
    <row r="87" spans="7:12" s="123" customFormat="1">
      <c r="G87" s="177"/>
      <c r="H87" s="177"/>
      <c r="I87" s="178"/>
      <c r="J87" s="179"/>
      <c r="K87" s="179"/>
      <c r="L87" s="173"/>
    </row>
    <row r="88" spans="7:12" s="123" customFormat="1">
      <c r="G88" s="177"/>
      <c r="H88" s="177"/>
      <c r="I88" s="178"/>
      <c r="J88" s="179"/>
      <c r="K88" s="179"/>
      <c r="L88" s="173"/>
    </row>
    <row r="89" spans="7:12" s="123" customFormat="1">
      <c r="G89" s="177"/>
      <c r="H89" s="177"/>
      <c r="I89" s="178"/>
      <c r="J89" s="179"/>
      <c r="K89" s="179"/>
      <c r="L89" s="173"/>
    </row>
    <row r="90" spans="7:12" s="123" customFormat="1">
      <c r="G90" s="177"/>
      <c r="H90" s="177"/>
      <c r="I90" s="178"/>
      <c r="J90" s="179"/>
      <c r="K90" s="179"/>
      <c r="L90" s="173"/>
    </row>
    <row r="91" spans="7:12" s="123" customFormat="1">
      <c r="G91" s="177"/>
      <c r="H91" s="177"/>
      <c r="I91" s="178"/>
      <c r="J91" s="179"/>
      <c r="K91" s="179"/>
      <c r="L91" s="173"/>
    </row>
    <row r="92" spans="7:12" s="123" customFormat="1">
      <c r="G92" s="177"/>
      <c r="H92" s="177"/>
      <c r="I92" s="178"/>
      <c r="J92" s="179"/>
      <c r="K92" s="179"/>
      <c r="L92" s="173"/>
    </row>
    <row r="93" spans="7:12" s="123" customFormat="1">
      <c r="G93" s="177"/>
      <c r="H93" s="177"/>
      <c r="I93" s="178"/>
      <c r="J93" s="179"/>
      <c r="K93" s="179"/>
      <c r="L93" s="173"/>
    </row>
    <row r="94" spans="7:12" s="123" customFormat="1">
      <c r="G94" s="177"/>
      <c r="H94" s="177"/>
      <c r="I94" s="178"/>
      <c r="J94" s="179"/>
      <c r="K94" s="179"/>
      <c r="L94" s="173"/>
    </row>
    <row r="95" spans="7:12" s="123" customFormat="1">
      <c r="G95" s="177"/>
      <c r="H95" s="177"/>
      <c r="I95" s="178"/>
      <c r="J95" s="179"/>
      <c r="K95" s="179"/>
      <c r="L95" s="173"/>
    </row>
    <row r="96" spans="7:12" s="123" customFormat="1">
      <c r="G96" s="177"/>
      <c r="H96" s="177"/>
      <c r="I96" s="178"/>
      <c r="J96" s="179"/>
      <c r="K96" s="179"/>
      <c r="L96" s="173"/>
    </row>
    <row r="97" spans="7:12" s="123" customFormat="1">
      <c r="G97" s="177"/>
      <c r="H97" s="177"/>
      <c r="I97" s="178"/>
      <c r="J97" s="179"/>
      <c r="K97" s="179"/>
      <c r="L97" s="173"/>
    </row>
    <row r="98" spans="7:12" s="123" customFormat="1">
      <c r="G98" s="177"/>
      <c r="H98" s="177"/>
      <c r="I98" s="178"/>
      <c r="J98" s="179"/>
      <c r="K98" s="179"/>
      <c r="L98" s="173"/>
    </row>
    <row r="99" spans="7:12" s="123" customFormat="1">
      <c r="G99" s="177"/>
      <c r="H99" s="177"/>
      <c r="I99" s="178"/>
      <c r="J99" s="179"/>
      <c r="K99" s="179"/>
      <c r="L99" s="173"/>
    </row>
    <row r="100" spans="7:12" s="123" customFormat="1">
      <c r="G100" s="177"/>
      <c r="H100" s="177"/>
      <c r="I100" s="178"/>
      <c r="J100" s="179"/>
      <c r="K100" s="179"/>
      <c r="L100" s="173"/>
    </row>
    <row r="101" spans="7:12" s="123" customFormat="1">
      <c r="G101" s="177"/>
      <c r="H101" s="177"/>
      <c r="I101" s="178"/>
      <c r="J101" s="179"/>
      <c r="K101" s="179"/>
      <c r="L101" s="173"/>
    </row>
    <row r="102" spans="7:12" s="123" customFormat="1">
      <c r="G102" s="177"/>
      <c r="H102" s="177"/>
      <c r="I102" s="178"/>
      <c r="J102" s="179"/>
      <c r="K102" s="179"/>
      <c r="L102" s="173"/>
    </row>
    <row r="103" spans="7:12" s="123" customFormat="1">
      <c r="G103" s="177"/>
      <c r="H103" s="177"/>
      <c r="I103" s="178"/>
      <c r="J103" s="179"/>
      <c r="K103" s="179"/>
      <c r="L103" s="173"/>
    </row>
    <row r="104" spans="7:12" s="123" customFormat="1">
      <c r="G104" s="177"/>
      <c r="H104" s="177"/>
      <c r="I104" s="178"/>
      <c r="J104" s="179"/>
      <c r="K104" s="179"/>
      <c r="L104" s="173"/>
    </row>
    <row r="105" spans="7:12" s="123" customFormat="1">
      <c r="G105" s="177"/>
      <c r="H105" s="177"/>
      <c r="I105" s="178"/>
      <c r="J105" s="179"/>
      <c r="K105" s="179"/>
      <c r="L105" s="173"/>
    </row>
    <row r="106" spans="7:12" s="123" customFormat="1">
      <c r="G106" s="177"/>
      <c r="H106" s="177"/>
      <c r="I106" s="178"/>
      <c r="J106" s="179"/>
      <c r="K106" s="179"/>
      <c r="L106" s="173"/>
    </row>
    <row r="107" spans="7:12" s="123" customFormat="1">
      <c r="G107" s="177"/>
      <c r="H107" s="177"/>
      <c r="I107" s="178"/>
      <c r="J107" s="179"/>
      <c r="K107" s="179"/>
      <c r="L107" s="173"/>
    </row>
    <row r="108" spans="7:12" s="123" customFormat="1">
      <c r="G108" s="177"/>
      <c r="H108" s="177"/>
      <c r="I108" s="178"/>
      <c r="J108" s="179"/>
      <c r="K108" s="179"/>
      <c r="L108" s="173"/>
    </row>
    <row r="109" spans="7:12" s="123" customFormat="1">
      <c r="G109" s="177"/>
      <c r="H109" s="177"/>
      <c r="I109" s="178"/>
      <c r="J109" s="179"/>
      <c r="K109" s="179"/>
      <c r="L109" s="173"/>
    </row>
    <row r="110" spans="7:12" s="123" customFormat="1">
      <c r="G110" s="177"/>
      <c r="H110" s="177"/>
      <c r="I110" s="178"/>
      <c r="J110" s="179"/>
      <c r="K110" s="179"/>
      <c r="L110" s="173"/>
    </row>
    <row r="111" spans="7:12" s="123" customFormat="1">
      <c r="G111" s="177"/>
      <c r="H111" s="177"/>
      <c r="I111" s="178"/>
      <c r="J111" s="179"/>
      <c r="K111" s="179"/>
      <c r="L111" s="173"/>
    </row>
    <row r="112" spans="7:12" s="123" customFormat="1">
      <c r="G112" s="177"/>
      <c r="H112" s="177"/>
      <c r="I112" s="178"/>
      <c r="J112" s="179"/>
      <c r="K112" s="179"/>
      <c r="L112" s="173"/>
    </row>
    <row r="113" spans="7:12" s="123" customFormat="1">
      <c r="G113" s="177"/>
      <c r="H113" s="177"/>
      <c r="I113" s="178"/>
      <c r="J113" s="179"/>
      <c r="K113" s="179"/>
      <c r="L113" s="173"/>
    </row>
    <row r="114" spans="7:12" s="123" customFormat="1">
      <c r="G114" s="177"/>
      <c r="H114" s="177"/>
      <c r="I114" s="178"/>
      <c r="J114" s="179"/>
      <c r="K114" s="179"/>
      <c r="L114" s="173"/>
    </row>
    <row r="115" spans="7:12" s="123" customFormat="1">
      <c r="G115" s="177"/>
      <c r="H115" s="177"/>
      <c r="I115" s="178"/>
      <c r="J115" s="179"/>
      <c r="K115" s="179"/>
      <c r="L115" s="173"/>
    </row>
    <row r="116" spans="7:12" s="123" customFormat="1">
      <c r="G116" s="177"/>
      <c r="H116" s="177"/>
      <c r="I116" s="178"/>
      <c r="J116" s="179"/>
      <c r="K116" s="179"/>
      <c r="L116" s="173"/>
    </row>
    <row r="117" spans="7:12" s="123" customFormat="1">
      <c r="G117" s="177"/>
      <c r="H117" s="177"/>
      <c r="I117" s="178"/>
      <c r="J117" s="179"/>
      <c r="K117" s="179"/>
      <c r="L117" s="173"/>
    </row>
    <row r="118" spans="7:12" s="123" customFormat="1">
      <c r="G118" s="177"/>
      <c r="H118" s="177"/>
      <c r="I118" s="178"/>
      <c r="J118" s="179"/>
      <c r="K118" s="179"/>
      <c r="L118" s="173"/>
    </row>
    <row r="119" spans="7:12" s="123" customFormat="1">
      <c r="G119" s="177"/>
      <c r="H119" s="177"/>
      <c r="I119" s="178"/>
      <c r="J119" s="179"/>
      <c r="K119" s="179"/>
      <c r="L119" s="173"/>
    </row>
    <row r="120" spans="7:12" s="123" customFormat="1">
      <c r="G120" s="177"/>
      <c r="H120" s="177"/>
      <c r="I120" s="178"/>
      <c r="J120" s="179"/>
      <c r="K120" s="179"/>
      <c r="L120" s="173"/>
    </row>
    <row r="121" spans="7:12" s="123" customFormat="1">
      <c r="G121" s="177"/>
      <c r="H121" s="177"/>
      <c r="I121" s="178"/>
      <c r="J121" s="179"/>
      <c r="K121" s="179"/>
      <c r="L121" s="173"/>
    </row>
    <row r="122" spans="7:12" s="123" customFormat="1">
      <c r="G122" s="177"/>
      <c r="H122" s="177"/>
      <c r="I122" s="178"/>
      <c r="J122" s="179"/>
      <c r="K122" s="179"/>
      <c r="L122" s="173"/>
    </row>
    <row r="123" spans="7:12" s="123" customFormat="1">
      <c r="G123" s="177"/>
      <c r="H123" s="177"/>
      <c r="I123" s="178"/>
      <c r="J123" s="179"/>
      <c r="K123" s="179"/>
      <c r="L123" s="173"/>
    </row>
    <row r="124" spans="7:12" s="123" customFormat="1">
      <c r="G124" s="177"/>
      <c r="H124" s="177"/>
      <c r="I124" s="178"/>
      <c r="J124" s="179"/>
      <c r="K124" s="179"/>
      <c r="L124" s="173"/>
    </row>
    <row r="125" spans="7:12" s="123" customFormat="1">
      <c r="G125" s="177"/>
      <c r="H125" s="177"/>
      <c r="I125" s="178"/>
      <c r="J125" s="179"/>
      <c r="K125" s="179"/>
      <c r="L125" s="173"/>
    </row>
    <row r="126" spans="7:12" s="123" customFormat="1">
      <c r="G126" s="177"/>
      <c r="H126" s="177"/>
      <c r="I126" s="178"/>
      <c r="J126" s="179"/>
      <c r="K126" s="179"/>
      <c r="L126" s="173"/>
    </row>
    <row r="127" spans="7:12" s="123" customFormat="1">
      <c r="G127" s="177"/>
      <c r="H127" s="177"/>
      <c r="I127" s="178"/>
      <c r="J127" s="179"/>
      <c r="K127" s="179"/>
      <c r="L127" s="173"/>
    </row>
    <row r="128" spans="7:12" s="123" customFormat="1">
      <c r="G128" s="177"/>
      <c r="H128" s="177"/>
      <c r="I128" s="178"/>
      <c r="J128" s="179"/>
      <c r="K128" s="179"/>
      <c r="L128" s="173"/>
    </row>
    <row r="129" spans="7:12" s="123" customFormat="1">
      <c r="G129" s="177"/>
      <c r="H129" s="177"/>
      <c r="I129" s="178"/>
      <c r="J129" s="179"/>
      <c r="K129" s="179"/>
      <c r="L129" s="173"/>
    </row>
    <row r="130" spans="7:12" s="123" customFormat="1">
      <c r="G130" s="177"/>
      <c r="H130" s="177"/>
      <c r="I130" s="178"/>
      <c r="J130" s="179"/>
      <c r="K130" s="179"/>
      <c r="L130" s="173"/>
    </row>
    <row r="131" spans="7:12" s="123" customFormat="1">
      <c r="G131" s="177"/>
      <c r="H131" s="177"/>
      <c r="I131" s="178"/>
      <c r="J131" s="179"/>
      <c r="K131" s="179"/>
      <c r="L131" s="173"/>
    </row>
    <row r="132" spans="7:12" s="123" customFormat="1">
      <c r="G132" s="177"/>
      <c r="H132" s="177"/>
      <c r="I132" s="178"/>
      <c r="J132" s="179"/>
      <c r="K132" s="179"/>
      <c r="L132" s="173"/>
    </row>
    <row r="133" spans="7:12" s="123" customFormat="1">
      <c r="G133" s="177"/>
      <c r="H133" s="177"/>
      <c r="I133" s="178"/>
      <c r="J133" s="179"/>
      <c r="K133" s="179"/>
      <c r="L133" s="173"/>
    </row>
    <row r="134" spans="7:12" s="123" customFormat="1">
      <c r="G134" s="177"/>
      <c r="H134" s="177"/>
      <c r="I134" s="178"/>
      <c r="J134" s="179"/>
      <c r="K134" s="179"/>
      <c r="L134" s="173"/>
    </row>
    <row r="135" spans="7:12" s="123" customFormat="1">
      <c r="G135" s="177"/>
      <c r="H135" s="177"/>
      <c r="I135" s="178"/>
      <c r="J135" s="179"/>
      <c r="K135" s="179"/>
      <c r="L135" s="173"/>
    </row>
    <row r="136" spans="7:12" s="123" customFormat="1">
      <c r="G136" s="177"/>
      <c r="H136" s="177"/>
      <c r="I136" s="178"/>
      <c r="J136" s="179"/>
      <c r="K136" s="179"/>
      <c r="L136" s="173"/>
    </row>
    <row r="137" spans="7:12" s="123" customFormat="1">
      <c r="G137" s="177"/>
      <c r="H137" s="177"/>
      <c r="I137" s="178"/>
      <c r="J137" s="179"/>
      <c r="K137" s="179"/>
      <c r="L137" s="173"/>
    </row>
    <row r="138" spans="7:12" s="123" customFormat="1">
      <c r="G138" s="177"/>
      <c r="H138" s="177"/>
      <c r="I138" s="178"/>
      <c r="J138" s="179"/>
      <c r="K138" s="179"/>
      <c r="L138" s="173"/>
    </row>
    <row r="139" spans="7:12" s="123" customFormat="1">
      <c r="G139" s="177"/>
      <c r="H139" s="177"/>
      <c r="I139" s="178"/>
      <c r="J139" s="179"/>
      <c r="K139" s="179"/>
      <c r="L139" s="173"/>
    </row>
    <row r="140" spans="7:12" s="123" customFormat="1">
      <c r="G140" s="177"/>
      <c r="H140" s="177"/>
      <c r="I140" s="178"/>
      <c r="J140" s="179"/>
      <c r="K140" s="179"/>
      <c r="L140" s="173"/>
    </row>
    <row r="141" spans="7:12" s="123" customFormat="1">
      <c r="G141" s="177"/>
      <c r="H141" s="177"/>
      <c r="I141" s="178"/>
      <c r="J141" s="179"/>
      <c r="K141" s="179"/>
      <c r="L141" s="173"/>
    </row>
    <row r="142" spans="7:12" s="123" customFormat="1">
      <c r="G142" s="177"/>
      <c r="H142" s="177"/>
      <c r="I142" s="178"/>
      <c r="J142" s="179"/>
      <c r="K142" s="179"/>
      <c r="L142" s="173"/>
    </row>
    <row r="143" spans="7:12" s="123" customFormat="1">
      <c r="G143" s="177"/>
      <c r="H143" s="177"/>
      <c r="I143" s="178"/>
      <c r="J143" s="179"/>
      <c r="K143" s="179"/>
      <c r="L143" s="173"/>
    </row>
    <row r="144" spans="7:12" s="123" customFormat="1">
      <c r="G144" s="177"/>
      <c r="H144" s="177"/>
      <c r="I144" s="178"/>
      <c r="J144" s="179"/>
      <c r="K144" s="179"/>
      <c r="L144" s="173"/>
    </row>
    <row r="145" spans="7:12" s="123" customFormat="1">
      <c r="G145" s="177"/>
      <c r="H145" s="177"/>
      <c r="I145" s="178"/>
      <c r="J145" s="179"/>
      <c r="K145" s="179"/>
      <c r="L145" s="173"/>
    </row>
    <row r="146" spans="7:12" s="123" customFormat="1">
      <c r="G146" s="177"/>
      <c r="H146" s="177"/>
      <c r="I146" s="178"/>
      <c r="J146" s="179"/>
      <c r="K146" s="179"/>
      <c r="L146" s="173"/>
    </row>
    <row r="147" spans="7:12" s="123" customFormat="1">
      <c r="G147" s="177"/>
      <c r="H147" s="177"/>
      <c r="I147" s="178"/>
      <c r="J147" s="179"/>
      <c r="K147" s="179"/>
      <c r="L147" s="173"/>
    </row>
    <row r="148" spans="7:12" s="123" customFormat="1">
      <c r="G148" s="177"/>
      <c r="H148" s="177"/>
      <c r="I148" s="178"/>
      <c r="J148" s="179"/>
      <c r="K148" s="179"/>
      <c r="L148" s="173"/>
    </row>
    <row r="149" spans="7:12" s="123" customFormat="1">
      <c r="G149" s="177"/>
      <c r="H149" s="177"/>
      <c r="I149" s="178"/>
      <c r="J149" s="179"/>
      <c r="K149" s="179"/>
      <c r="L149" s="173"/>
    </row>
    <row r="150" spans="7:12" s="123" customFormat="1">
      <c r="G150" s="177"/>
      <c r="H150" s="177"/>
      <c r="I150" s="178"/>
      <c r="J150" s="179"/>
      <c r="K150" s="179"/>
      <c r="L150" s="173"/>
    </row>
    <row r="151" spans="7:12" s="123" customFormat="1">
      <c r="G151" s="177"/>
      <c r="H151" s="177"/>
      <c r="I151" s="178"/>
      <c r="J151" s="179"/>
      <c r="K151" s="179"/>
      <c r="L151" s="173"/>
    </row>
    <row r="152" spans="7:12" s="123" customFormat="1">
      <c r="G152" s="177"/>
      <c r="H152" s="177"/>
      <c r="I152" s="178"/>
      <c r="J152" s="179"/>
      <c r="K152" s="179"/>
      <c r="L152" s="173"/>
    </row>
    <row r="153" spans="7:12" s="123" customFormat="1">
      <c r="G153" s="177"/>
      <c r="H153" s="177"/>
      <c r="I153" s="178"/>
      <c r="J153" s="179"/>
      <c r="K153" s="179"/>
      <c r="L153" s="173"/>
    </row>
    <row r="154" spans="7:12" s="123" customFormat="1">
      <c r="G154" s="177"/>
      <c r="H154" s="177"/>
      <c r="I154" s="178"/>
      <c r="J154" s="179"/>
      <c r="K154" s="179"/>
      <c r="L154" s="173"/>
    </row>
    <row r="155" spans="7:12" s="123" customFormat="1">
      <c r="G155" s="177"/>
      <c r="H155" s="177"/>
      <c r="I155" s="178"/>
      <c r="J155" s="179"/>
      <c r="K155" s="179"/>
      <c r="L155" s="173"/>
    </row>
    <row r="156" spans="7:12" s="123" customFormat="1">
      <c r="G156" s="177"/>
      <c r="H156" s="177"/>
      <c r="I156" s="178"/>
      <c r="J156" s="179"/>
      <c r="K156" s="179"/>
      <c r="L156" s="173"/>
    </row>
    <row r="157" spans="7:12" s="123" customFormat="1">
      <c r="G157" s="177"/>
      <c r="H157" s="177"/>
      <c r="I157" s="178"/>
      <c r="J157" s="179"/>
      <c r="K157" s="179"/>
      <c r="L157" s="173"/>
    </row>
    <row r="158" spans="7:12" s="123" customFormat="1">
      <c r="G158" s="177"/>
      <c r="H158" s="177"/>
      <c r="I158" s="178"/>
      <c r="J158" s="179"/>
      <c r="K158" s="179"/>
      <c r="L158" s="173"/>
    </row>
    <row r="159" spans="7:12" s="123" customFormat="1">
      <c r="G159" s="177"/>
      <c r="H159" s="177"/>
      <c r="I159" s="178"/>
      <c r="J159" s="179"/>
      <c r="K159" s="179"/>
      <c r="L159" s="173"/>
    </row>
    <row r="160" spans="7:12" s="123" customFormat="1">
      <c r="G160" s="177"/>
      <c r="H160" s="177"/>
      <c r="I160" s="178"/>
      <c r="J160" s="179"/>
      <c r="K160" s="179"/>
      <c r="L160" s="173"/>
    </row>
    <row r="161" spans="7:12" s="123" customFormat="1">
      <c r="G161" s="177"/>
      <c r="H161" s="177"/>
      <c r="I161" s="178"/>
      <c r="J161" s="179"/>
      <c r="K161" s="179"/>
      <c r="L161" s="173"/>
    </row>
    <row r="162" spans="7:12" s="123" customFormat="1">
      <c r="G162" s="177"/>
      <c r="H162" s="177"/>
      <c r="I162" s="178"/>
      <c r="J162" s="179"/>
      <c r="K162" s="179"/>
      <c r="L162" s="173"/>
    </row>
    <row r="163" spans="7:12" s="123" customFormat="1">
      <c r="G163" s="177"/>
      <c r="H163" s="177"/>
      <c r="I163" s="178"/>
      <c r="J163" s="179"/>
      <c r="K163" s="179"/>
      <c r="L163" s="173"/>
    </row>
    <row r="164" spans="7:12" s="123" customFormat="1">
      <c r="G164" s="177"/>
      <c r="H164" s="177"/>
      <c r="I164" s="178"/>
      <c r="J164" s="179"/>
      <c r="K164" s="179"/>
      <c r="L164" s="173"/>
    </row>
    <row r="165" spans="7:12" s="123" customFormat="1">
      <c r="G165" s="177"/>
      <c r="H165" s="177"/>
      <c r="I165" s="178"/>
      <c r="J165" s="179"/>
      <c r="K165" s="179"/>
      <c r="L165" s="173"/>
    </row>
    <row r="166" spans="7:12" s="123" customFormat="1">
      <c r="G166" s="177"/>
      <c r="H166" s="177"/>
      <c r="I166" s="178"/>
      <c r="J166" s="179"/>
      <c r="K166" s="179"/>
      <c r="L166" s="173"/>
    </row>
    <row r="167" spans="7:12" s="123" customFormat="1">
      <c r="G167" s="177"/>
      <c r="H167" s="177"/>
      <c r="I167" s="178"/>
      <c r="J167" s="179"/>
      <c r="K167" s="179"/>
      <c r="L167" s="173"/>
    </row>
    <row r="168" spans="7:12" s="123" customFormat="1">
      <c r="G168" s="177"/>
      <c r="H168" s="177"/>
      <c r="I168" s="178"/>
      <c r="J168" s="179"/>
      <c r="K168" s="179"/>
      <c r="L168" s="173"/>
    </row>
    <row r="169" spans="7:12" s="123" customFormat="1">
      <c r="G169" s="177"/>
      <c r="H169" s="177"/>
      <c r="I169" s="178"/>
      <c r="J169" s="179"/>
      <c r="K169" s="179"/>
      <c r="L169" s="173"/>
    </row>
    <row r="170" spans="7:12" s="123" customFormat="1">
      <c r="G170" s="177"/>
      <c r="H170" s="177"/>
      <c r="I170" s="178"/>
      <c r="J170" s="179"/>
      <c r="K170" s="179"/>
      <c r="L170" s="173"/>
    </row>
    <row r="171" spans="7:12" s="123" customFormat="1">
      <c r="G171" s="177"/>
      <c r="H171" s="177"/>
      <c r="I171" s="178"/>
      <c r="J171" s="179"/>
      <c r="K171" s="179"/>
      <c r="L171" s="173"/>
    </row>
    <row r="172" spans="7:12" s="123" customFormat="1">
      <c r="G172" s="177"/>
      <c r="H172" s="177"/>
      <c r="I172" s="178"/>
      <c r="J172" s="179"/>
      <c r="K172" s="179"/>
      <c r="L172" s="173"/>
    </row>
    <row r="173" spans="7:12" s="123" customFormat="1">
      <c r="G173" s="177"/>
      <c r="H173" s="177"/>
      <c r="I173" s="178"/>
      <c r="J173" s="179"/>
      <c r="K173" s="179"/>
      <c r="L173" s="173"/>
    </row>
    <row r="174" spans="7:12" s="123" customFormat="1">
      <c r="G174" s="177"/>
      <c r="H174" s="177"/>
      <c r="I174" s="178"/>
      <c r="J174" s="179"/>
      <c r="K174" s="179"/>
      <c r="L174" s="173"/>
    </row>
    <row r="175" spans="7:12" s="123" customFormat="1">
      <c r="G175" s="177"/>
      <c r="H175" s="177"/>
      <c r="I175" s="178"/>
      <c r="J175" s="179"/>
      <c r="K175" s="179"/>
      <c r="L175" s="173"/>
    </row>
    <row r="176" spans="7:12" s="123" customFormat="1">
      <c r="G176" s="177"/>
      <c r="H176" s="177"/>
      <c r="I176" s="178"/>
      <c r="J176" s="179"/>
      <c r="K176" s="179"/>
      <c r="L176" s="173"/>
    </row>
    <row r="177" spans="7:12" s="123" customFormat="1">
      <c r="G177" s="177"/>
      <c r="H177" s="177"/>
      <c r="I177" s="178"/>
      <c r="J177" s="179"/>
      <c r="K177" s="179"/>
      <c r="L177" s="173"/>
    </row>
    <row r="178" spans="7:12" s="123" customFormat="1">
      <c r="G178" s="177"/>
      <c r="H178" s="177"/>
      <c r="I178" s="178"/>
      <c r="J178" s="179"/>
      <c r="K178" s="179"/>
      <c r="L178" s="173"/>
    </row>
    <row r="179" spans="7:12" s="123" customFormat="1">
      <c r="G179" s="177"/>
      <c r="H179" s="177"/>
      <c r="I179" s="178"/>
      <c r="J179" s="179"/>
      <c r="K179" s="179"/>
      <c r="L179" s="173"/>
    </row>
    <row r="180" spans="7:12" s="123" customFormat="1">
      <c r="G180" s="177"/>
      <c r="H180" s="177"/>
      <c r="I180" s="178"/>
      <c r="J180" s="179"/>
      <c r="K180" s="179"/>
      <c r="L180" s="173"/>
    </row>
    <row r="181" spans="7:12" s="123" customFormat="1">
      <c r="G181" s="177"/>
      <c r="H181" s="177"/>
      <c r="I181" s="178"/>
      <c r="J181" s="179"/>
      <c r="K181" s="179"/>
      <c r="L181" s="173"/>
    </row>
    <row r="182" spans="7:12" s="123" customFormat="1">
      <c r="G182" s="177"/>
      <c r="H182" s="177"/>
      <c r="I182" s="178"/>
      <c r="J182" s="179"/>
      <c r="K182" s="179"/>
      <c r="L182" s="173"/>
    </row>
    <row r="183" spans="7:12" s="123" customFormat="1">
      <c r="G183" s="177"/>
      <c r="H183" s="177"/>
      <c r="I183" s="178"/>
      <c r="J183" s="179"/>
      <c r="K183" s="179"/>
      <c r="L183" s="173"/>
    </row>
    <row r="184" spans="7:12" s="123" customFormat="1">
      <c r="G184" s="177"/>
      <c r="H184" s="177"/>
      <c r="I184" s="178"/>
      <c r="J184" s="179"/>
      <c r="K184" s="179"/>
      <c r="L184" s="173"/>
    </row>
    <row r="185" spans="7:12" s="123" customFormat="1">
      <c r="G185" s="177"/>
      <c r="H185" s="177"/>
      <c r="I185" s="178"/>
      <c r="J185" s="179"/>
      <c r="K185" s="179"/>
      <c r="L185" s="173"/>
    </row>
    <row r="186" spans="7:12" s="123" customFormat="1">
      <c r="G186" s="177"/>
      <c r="H186" s="177"/>
      <c r="I186" s="178"/>
      <c r="J186" s="179"/>
      <c r="K186" s="179"/>
      <c r="L186" s="173"/>
    </row>
    <row r="187" spans="7:12" s="123" customFormat="1">
      <c r="G187" s="177"/>
      <c r="H187" s="177"/>
      <c r="I187" s="178"/>
      <c r="J187" s="179"/>
      <c r="K187" s="179"/>
      <c r="L187" s="173"/>
    </row>
    <row r="188" spans="7:12" s="123" customFormat="1">
      <c r="G188" s="177"/>
      <c r="H188" s="177"/>
      <c r="I188" s="178"/>
      <c r="J188" s="179"/>
      <c r="K188" s="179"/>
      <c r="L188" s="173"/>
    </row>
    <row r="189" spans="7:12" s="123" customFormat="1">
      <c r="G189" s="177"/>
      <c r="H189" s="177"/>
      <c r="I189" s="178"/>
      <c r="J189" s="179"/>
      <c r="K189" s="179"/>
      <c r="L189" s="173"/>
    </row>
    <row r="190" spans="7:12" s="123" customFormat="1">
      <c r="G190" s="177"/>
      <c r="H190" s="177"/>
      <c r="I190" s="178"/>
      <c r="J190" s="179"/>
      <c r="K190" s="179"/>
      <c r="L190" s="173"/>
    </row>
    <row r="191" spans="7:12" s="123" customFormat="1">
      <c r="G191" s="177"/>
      <c r="H191" s="177"/>
      <c r="I191" s="178"/>
      <c r="J191" s="179"/>
      <c r="K191" s="179"/>
      <c r="L191" s="173"/>
    </row>
    <row r="192" spans="7:12" s="123" customFormat="1">
      <c r="G192" s="177"/>
      <c r="H192" s="177"/>
      <c r="I192" s="178"/>
      <c r="J192" s="179"/>
      <c r="K192" s="179"/>
      <c r="L192" s="173"/>
    </row>
  </sheetData>
  <mergeCells count="8">
    <mergeCell ref="A49:F49"/>
    <mergeCell ref="A3:F3"/>
    <mergeCell ref="A4:F4"/>
    <mergeCell ref="E7:F7"/>
    <mergeCell ref="A7:A8"/>
    <mergeCell ref="B7:B8"/>
    <mergeCell ref="C7:C8"/>
    <mergeCell ref="D7:D8"/>
  </mergeCells>
  <pageMargins left="0.7" right="0.24" top="0.63" bottom="0.75" header="0.3" footer="0.3"/>
  <pageSetup paperSize="9" scale="85" orientation="portrait" verticalDpi="0"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7"/>
  <sheetViews>
    <sheetView showGridLines="0" topLeftCell="A37" workbookViewId="0">
      <selection activeCell="A57" sqref="A57:K57"/>
    </sheetView>
  </sheetViews>
  <sheetFormatPr defaultRowHeight="16.5"/>
  <cols>
    <col min="1" max="1" width="5.7109375" style="127" customWidth="1"/>
    <col min="2" max="2" width="36.7109375" style="127" customWidth="1"/>
    <col min="3" max="3" width="19.140625" style="127" customWidth="1"/>
    <col min="4" max="4" width="19" style="127" customWidth="1"/>
    <col min="5" max="5" width="18.42578125" style="127" customWidth="1"/>
    <col min="6" max="7" width="18.7109375" style="127" customWidth="1"/>
    <col min="8" max="8" width="17.5703125" style="127" customWidth="1"/>
    <col min="9" max="9" width="11.7109375" style="127" customWidth="1"/>
    <col min="10" max="10" width="11.5703125" style="127" customWidth="1"/>
    <col min="11" max="11" width="10.5703125" style="127" customWidth="1"/>
    <col min="12" max="12" width="6.28515625" style="127" customWidth="1"/>
    <col min="13" max="16384" width="9.140625" style="127"/>
  </cols>
  <sheetData>
    <row r="1" spans="1:11" ht="16.5" customHeight="1">
      <c r="A1" s="258" t="s">
        <v>65</v>
      </c>
      <c r="B1" s="257"/>
      <c r="C1" s="200"/>
      <c r="D1" s="200"/>
      <c r="E1" s="200"/>
      <c r="F1" s="200"/>
      <c r="G1" s="200"/>
      <c r="H1" s="200"/>
      <c r="I1" s="200"/>
    </row>
    <row r="2" spans="1:11">
      <c r="A2" s="126" t="s">
        <v>0</v>
      </c>
    </row>
    <row r="3" spans="1:11" ht="19.5">
      <c r="A3" s="334" t="s">
        <v>66</v>
      </c>
      <c r="B3" s="334"/>
      <c r="C3" s="334"/>
      <c r="D3" s="334"/>
      <c r="E3" s="334"/>
      <c r="F3" s="334"/>
      <c r="G3" s="334"/>
      <c r="H3" s="334"/>
      <c r="I3" s="334"/>
      <c r="J3" s="334"/>
      <c r="K3" s="334"/>
    </row>
    <row r="4" spans="1:11" ht="17.25" customHeight="1">
      <c r="A4" s="335" t="s">
        <v>67</v>
      </c>
      <c r="B4" s="335"/>
      <c r="C4" s="335"/>
      <c r="D4" s="335"/>
      <c r="E4" s="335"/>
      <c r="F4" s="335"/>
      <c r="G4" s="335"/>
      <c r="H4" s="335"/>
      <c r="I4" s="335"/>
      <c r="J4" s="335"/>
      <c r="K4" s="335"/>
    </row>
    <row r="5" spans="1:11">
      <c r="A5" s="126" t="s">
        <v>0</v>
      </c>
    </row>
    <row r="6" spans="1:11">
      <c r="J6" s="336" t="s">
        <v>68</v>
      </c>
      <c r="K6" s="336"/>
    </row>
    <row r="7" spans="1:11" ht="7.5" customHeight="1">
      <c r="A7" s="126" t="s">
        <v>0</v>
      </c>
    </row>
    <row r="8" spans="1:11" ht="19.5" customHeight="1">
      <c r="A8" s="328" t="s">
        <v>182</v>
      </c>
      <c r="B8" s="328" t="s">
        <v>5</v>
      </c>
      <c r="C8" s="328" t="s">
        <v>70</v>
      </c>
      <c r="D8" s="328" t="s">
        <v>69</v>
      </c>
      <c r="E8" s="328"/>
      <c r="F8" s="328" t="s">
        <v>73</v>
      </c>
      <c r="G8" s="328" t="s">
        <v>69</v>
      </c>
      <c r="H8" s="328"/>
      <c r="I8" s="328" t="s">
        <v>8</v>
      </c>
      <c r="J8" s="328"/>
      <c r="K8" s="328"/>
    </row>
    <row r="9" spans="1:11" ht="49.5">
      <c r="A9" s="328"/>
      <c r="B9" s="328"/>
      <c r="C9" s="328"/>
      <c r="D9" s="144" t="s">
        <v>71</v>
      </c>
      <c r="E9" s="144" t="s">
        <v>72</v>
      </c>
      <c r="F9" s="328"/>
      <c r="G9" s="144" t="s">
        <v>71</v>
      </c>
      <c r="H9" s="144" t="s">
        <v>72</v>
      </c>
      <c r="I9" s="144" t="s">
        <v>347</v>
      </c>
      <c r="J9" s="144" t="s">
        <v>71</v>
      </c>
      <c r="K9" s="144" t="s">
        <v>72</v>
      </c>
    </row>
    <row r="10" spans="1:11" ht="24.75" customHeight="1">
      <c r="A10" s="130"/>
      <c r="B10" s="138" t="s">
        <v>48</v>
      </c>
      <c r="C10" s="193">
        <f>C11+C27</f>
        <v>368798000000</v>
      </c>
      <c r="D10" s="193">
        <f t="shared" ref="D10:E10" si="0">D11+D27</f>
        <v>307867000000</v>
      </c>
      <c r="E10" s="193">
        <f t="shared" si="0"/>
        <v>60931000000</v>
      </c>
      <c r="F10" s="193">
        <f>F11+F27+F54+F55</f>
        <v>450466404988</v>
      </c>
      <c r="G10" s="193">
        <f t="shared" ref="G10" si="1">G11+G27+G54+G55</f>
        <v>377886596371</v>
      </c>
      <c r="H10" s="193">
        <f>H11+H27+H54+H55</f>
        <v>72579808617</v>
      </c>
      <c r="I10" s="190">
        <f>F10/C10</f>
        <v>1.221444815286417</v>
      </c>
      <c r="J10" s="190">
        <f>G10/D10</f>
        <v>1.2274345622330423</v>
      </c>
      <c r="K10" s="190">
        <f>H10/E10</f>
        <v>1.1911803288473848</v>
      </c>
    </row>
    <row r="11" spans="1:11">
      <c r="A11" s="134" t="s">
        <v>9</v>
      </c>
      <c r="B11" s="135" t="s">
        <v>10</v>
      </c>
      <c r="C11" s="187">
        <f>C12+C21+C25+C26</f>
        <v>326966000000</v>
      </c>
      <c r="D11" s="187">
        <f t="shared" ref="D11:E11" si="2">D12+D21+D25+D26</f>
        <v>273884000000</v>
      </c>
      <c r="E11" s="187">
        <f t="shared" si="2"/>
        <v>53082000000</v>
      </c>
      <c r="F11" s="187">
        <f>F12+F21</f>
        <v>344932512100</v>
      </c>
      <c r="G11" s="187">
        <f t="shared" ref="G11:H11" si="3">G12+G21</f>
        <v>287295603925</v>
      </c>
      <c r="H11" s="187">
        <f t="shared" si="3"/>
        <v>57636908175</v>
      </c>
      <c r="I11" s="191">
        <f t="shared" ref="I11:I53" si="4">F11/C11</f>
        <v>1.0549491754494351</v>
      </c>
      <c r="J11" s="191">
        <f t="shared" ref="J11:J53" si="5">G11/D11</f>
        <v>1.0489681906391026</v>
      </c>
      <c r="K11" s="191">
        <f t="shared" ref="K11:K34" si="6">H11/E11</f>
        <v>1.0858089027353905</v>
      </c>
    </row>
    <row r="12" spans="1:11">
      <c r="A12" s="134" t="s">
        <v>11</v>
      </c>
      <c r="B12" s="135" t="s">
        <v>12</v>
      </c>
      <c r="C12" s="187">
        <f>C13+C20</f>
        <v>34384000000</v>
      </c>
      <c r="D12" s="187">
        <f>D13+D20</f>
        <v>33778000000</v>
      </c>
      <c r="E12" s="187">
        <f t="shared" ref="E12" si="7">E13+E20</f>
        <v>606000000</v>
      </c>
      <c r="F12" s="187">
        <f>F13+F20</f>
        <v>42908075957</v>
      </c>
      <c r="G12" s="187">
        <f t="shared" ref="G12:H12" si="8">G13+G20</f>
        <v>41187051258</v>
      </c>
      <c r="H12" s="187">
        <f t="shared" si="8"/>
        <v>1721024699</v>
      </c>
      <c r="I12" s="191">
        <f t="shared" si="4"/>
        <v>1.2479082118718008</v>
      </c>
      <c r="J12" s="191">
        <f t="shared" si="5"/>
        <v>1.2193454691811239</v>
      </c>
      <c r="K12" s="191">
        <f t="shared" si="6"/>
        <v>2.8399747508250823</v>
      </c>
    </row>
    <row r="13" spans="1:11">
      <c r="A13" s="131" t="s">
        <v>13</v>
      </c>
      <c r="B13" s="132" t="s">
        <v>14</v>
      </c>
      <c r="C13" s="188">
        <f>SUM(D13:E13)</f>
        <v>33678000000</v>
      </c>
      <c r="D13" s="188">
        <f>8030000000+3000000000+6641000000+10000000000+4447000000+1360000000</f>
        <v>33478000000</v>
      </c>
      <c r="E13" s="188">
        <v>200000000</v>
      </c>
      <c r="F13" s="188">
        <f>SUM(G13:H13)</f>
        <v>42908075957</v>
      </c>
      <c r="G13" s="188">
        <v>41187051258</v>
      </c>
      <c r="H13" s="188">
        <v>1721024699</v>
      </c>
      <c r="I13" s="191">
        <f t="shared" si="4"/>
        <v>1.2740684113367777</v>
      </c>
      <c r="J13" s="191">
        <f t="shared" si="5"/>
        <v>1.2302721565804409</v>
      </c>
      <c r="K13" s="191">
        <f t="shared" si="6"/>
        <v>8.6051234950000008</v>
      </c>
    </row>
    <row r="14" spans="1:11">
      <c r="A14" s="131"/>
      <c r="B14" s="132" t="s">
        <v>349</v>
      </c>
      <c r="C14" s="188"/>
      <c r="D14" s="188"/>
      <c r="E14" s="188"/>
      <c r="F14" s="188"/>
      <c r="G14" s="188"/>
      <c r="H14" s="188"/>
      <c r="I14" s="191"/>
      <c r="J14" s="191"/>
      <c r="K14" s="191"/>
    </row>
    <row r="15" spans="1:11" s="198" customFormat="1" ht="33">
      <c r="A15" s="194" t="s">
        <v>15</v>
      </c>
      <c r="B15" s="195" t="s">
        <v>16</v>
      </c>
      <c r="C15" s="196">
        <f>SUM(D15:E15)</f>
        <v>2209921000</v>
      </c>
      <c r="D15" s="196">
        <v>2209921000</v>
      </c>
      <c r="E15" s="196"/>
      <c r="F15" s="196">
        <f>SUM(G15:H15)</f>
        <v>3161236081</v>
      </c>
      <c r="G15" s="196">
        <v>3161236081</v>
      </c>
      <c r="H15" s="196"/>
      <c r="I15" s="197">
        <f t="shared" si="4"/>
        <v>1.4304747006793455</v>
      </c>
      <c r="J15" s="197">
        <f t="shared" si="5"/>
        <v>1.4304747006793455</v>
      </c>
      <c r="K15" s="197"/>
    </row>
    <row r="16" spans="1:11" s="198" customFormat="1">
      <c r="A16" s="194" t="s">
        <v>15</v>
      </c>
      <c r="B16" s="195" t="s">
        <v>17</v>
      </c>
      <c r="C16" s="196">
        <f>SUM(D16:E16)</f>
        <v>0</v>
      </c>
      <c r="D16" s="196"/>
      <c r="E16" s="196"/>
      <c r="F16" s="196">
        <f>SUM(G16:H16)</f>
        <v>0</v>
      </c>
      <c r="G16" s="196"/>
      <c r="H16" s="196"/>
      <c r="I16" s="197"/>
      <c r="J16" s="197"/>
      <c r="K16" s="197"/>
    </row>
    <row r="17" spans="1:11">
      <c r="A17" s="131"/>
      <c r="B17" s="132" t="s">
        <v>350</v>
      </c>
      <c r="C17" s="188"/>
      <c r="D17" s="188"/>
      <c r="E17" s="188"/>
      <c r="F17" s="188"/>
      <c r="G17" s="188"/>
      <c r="H17" s="188"/>
      <c r="I17" s="191"/>
      <c r="J17" s="191"/>
      <c r="K17" s="191"/>
    </row>
    <row r="18" spans="1:11" s="198" customFormat="1" ht="33">
      <c r="A18" s="194" t="s">
        <v>15</v>
      </c>
      <c r="B18" s="195" t="s">
        <v>348</v>
      </c>
      <c r="C18" s="196">
        <f>SUM(D18:E18)</f>
        <v>1560000000</v>
      </c>
      <c r="D18" s="196">
        <v>1360000000</v>
      </c>
      <c r="E18" s="196">
        <v>200000000</v>
      </c>
      <c r="F18" s="196">
        <f>SUM(G18:H18)</f>
        <v>5049734846</v>
      </c>
      <c r="G18" s="196">
        <v>3328710147</v>
      </c>
      <c r="H18" s="196">
        <v>1721024699</v>
      </c>
      <c r="I18" s="197">
        <f t="shared" ref="I18:I19" si="9">F18/C18</f>
        <v>3.2370095166666668</v>
      </c>
      <c r="J18" s="197">
        <f t="shared" ref="J18:J19" si="10">G18/D18</f>
        <v>2.4475809904411765</v>
      </c>
      <c r="K18" s="197">
        <f t="shared" ref="K18" si="11">H18/E18</f>
        <v>8.6051234950000008</v>
      </c>
    </row>
    <row r="19" spans="1:11" s="198" customFormat="1" ht="33">
      <c r="A19" s="194" t="s">
        <v>15</v>
      </c>
      <c r="B19" s="195" t="s">
        <v>18</v>
      </c>
      <c r="C19" s="196">
        <f>SUM(D19:E19)</f>
        <v>4447000000</v>
      </c>
      <c r="D19" s="196">
        <v>4447000000</v>
      </c>
      <c r="E19" s="196"/>
      <c r="F19" s="196">
        <f>SUM(G19:H19)</f>
        <v>4447000000</v>
      </c>
      <c r="G19" s="196">
        <v>4447000000</v>
      </c>
      <c r="H19" s="196"/>
      <c r="I19" s="197">
        <f t="shared" si="9"/>
        <v>1</v>
      </c>
      <c r="J19" s="197">
        <f t="shared" si="10"/>
        <v>1</v>
      </c>
      <c r="K19" s="197"/>
    </row>
    <row r="20" spans="1:11">
      <c r="A20" s="137" t="s">
        <v>21</v>
      </c>
      <c r="B20" s="132" t="s">
        <v>61</v>
      </c>
      <c r="C20" s="188">
        <f>SUM(D20:E20)</f>
        <v>706000000</v>
      </c>
      <c r="D20" s="188">
        <v>300000000</v>
      </c>
      <c r="E20" s="188">
        <v>406000000</v>
      </c>
      <c r="F20" s="188"/>
      <c r="G20" s="188"/>
      <c r="H20" s="188"/>
      <c r="I20" s="191"/>
      <c r="J20" s="191"/>
      <c r="K20" s="191"/>
    </row>
    <row r="21" spans="1:11">
      <c r="A21" s="134" t="s">
        <v>19</v>
      </c>
      <c r="B21" s="135" t="s">
        <v>20</v>
      </c>
      <c r="C21" s="187">
        <f>SUM(D21:E21)</f>
        <v>282586000000</v>
      </c>
      <c r="D21" s="187">
        <f>233266000000-2088000000-110000000</f>
        <v>231068000000</v>
      </c>
      <c r="E21" s="187">
        <f>59367000000-7849000000</f>
        <v>51518000000</v>
      </c>
      <c r="F21" s="187">
        <v>302024436143</v>
      </c>
      <c r="G21" s="187">
        <v>246108552667</v>
      </c>
      <c r="H21" s="187">
        <v>55915883476</v>
      </c>
      <c r="I21" s="191">
        <f t="shared" si="4"/>
        <v>1.0687876828399143</v>
      </c>
      <c r="J21" s="191">
        <f t="shared" si="5"/>
        <v>1.0650914564846712</v>
      </c>
      <c r="K21" s="191">
        <f t="shared" si="6"/>
        <v>1.0853659590046199</v>
      </c>
    </row>
    <row r="22" spans="1:11">
      <c r="A22" s="134"/>
      <c r="B22" s="132" t="s">
        <v>253</v>
      </c>
      <c r="C22" s="187"/>
      <c r="D22" s="187"/>
      <c r="E22" s="187"/>
      <c r="F22" s="187"/>
      <c r="G22" s="187"/>
      <c r="H22" s="187"/>
      <c r="I22" s="191"/>
      <c r="J22" s="191"/>
      <c r="K22" s="191"/>
    </row>
    <row r="23" spans="1:11">
      <c r="A23" s="131" t="s">
        <v>13</v>
      </c>
      <c r="B23" s="132" t="s">
        <v>16</v>
      </c>
      <c r="C23" s="188">
        <f>SUM(D23:E23)</f>
        <v>162497849000</v>
      </c>
      <c r="D23" s="188">
        <v>162497849000</v>
      </c>
      <c r="E23" s="188">
        <v>0</v>
      </c>
      <c r="F23" s="188">
        <f>SUM(G23:H23)</f>
        <v>167356487315</v>
      </c>
      <c r="G23" s="188">
        <v>167323387315</v>
      </c>
      <c r="H23" s="188">
        <v>33100000</v>
      </c>
      <c r="I23" s="191">
        <f t="shared" si="4"/>
        <v>1.0298997084878336</v>
      </c>
      <c r="J23" s="191">
        <f t="shared" si="5"/>
        <v>1.0296960134838462</v>
      </c>
      <c r="K23" s="191"/>
    </row>
    <row r="24" spans="1:11">
      <c r="A24" s="131" t="s">
        <v>21</v>
      </c>
      <c r="B24" s="132" t="s">
        <v>17</v>
      </c>
      <c r="C24" s="188">
        <f>SUM(D24:E24)</f>
        <v>135000000</v>
      </c>
      <c r="D24" s="188">
        <v>135000000</v>
      </c>
      <c r="E24" s="188">
        <v>0</v>
      </c>
      <c r="F24" s="188">
        <f>SUM(G24:H24)</f>
        <v>135000000</v>
      </c>
      <c r="G24" s="188">
        <v>135000000</v>
      </c>
      <c r="H24" s="188"/>
      <c r="I24" s="191">
        <f t="shared" si="4"/>
        <v>1</v>
      </c>
      <c r="J24" s="191">
        <f t="shared" si="5"/>
        <v>1</v>
      </c>
      <c r="K24" s="191"/>
    </row>
    <row r="25" spans="1:11" s="139" customFormat="1">
      <c r="A25" s="134" t="s">
        <v>63</v>
      </c>
      <c r="B25" s="135" t="s">
        <v>23</v>
      </c>
      <c r="C25" s="187">
        <f>SUM(D25:E25)</f>
        <v>5550000000</v>
      </c>
      <c r="D25" s="187">
        <v>4592000000</v>
      </c>
      <c r="E25" s="187">
        <v>958000000</v>
      </c>
      <c r="F25" s="187"/>
      <c r="G25" s="187"/>
      <c r="H25" s="187"/>
      <c r="I25" s="199"/>
      <c r="J25" s="199"/>
      <c r="K25" s="199"/>
    </row>
    <row r="26" spans="1:11" s="139" customFormat="1" ht="33">
      <c r="A26" s="134" t="s">
        <v>64</v>
      </c>
      <c r="B26" s="135" t="s">
        <v>25</v>
      </c>
      <c r="C26" s="187">
        <f>SUM(D26:E26)</f>
        <v>4446000000</v>
      </c>
      <c r="D26" s="187">
        <f>4446000000-E26</f>
        <v>4446000000</v>
      </c>
      <c r="E26" s="187"/>
      <c r="F26" s="187"/>
      <c r="G26" s="187"/>
      <c r="H26" s="187"/>
      <c r="I26" s="199"/>
      <c r="J26" s="199"/>
      <c r="K26" s="199"/>
    </row>
    <row r="27" spans="1:11" s="139" customFormat="1" ht="33">
      <c r="A27" s="134" t="s">
        <v>26</v>
      </c>
      <c r="B27" s="135" t="s">
        <v>27</v>
      </c>
      <c r="C27" s="187">
        <f>C28+C44</f>
        <v>41832000000</v>
      </c>
      <c r="D27" s="187">
        <f t="shared" ref="D27:H27" si="12">D28+D44</f>
        <v>33983000000</v>
      </c>
      <c r="E27" s="187">
        <f t="shared" si="12"/>
        <v>7849000000</v>
      </c>
      <c r="F27" s="187">
        <f t="shared" si="12"/>
        <v>42523814593</v>
      </c>
      <c r="G27" s="187">
        <f t="shared" si="12"/>
        <v>34743914686</v>
      </c>
      <c r="H27" s="187">
        <f t="shared" si="12"/>
        <v>7779899907</v>
      </c>
      <c r="I27" s="191">
        <f t="shared" si="4"/>
        <v>1.0165379277347486</v>
      </c>
      <c r="J27" s="191">
        <f t="shared" si="5"/>
        <v>1.0223910392254951</v>
      </c>
      <c r="K27" s="191">
        <f t="shared" si="6"/>
        <v>0.99119631889412663</v>
      </c>
    </row>
    <row r="28" spans="1:11" s="139" customFormat="1" ht="33">
      <c r="A28" s="134" t="s">
        <v>11</v>
      </c>
      <c r="B28" s="135" t="s">
        <v>28</v>
      </c>
      <c r="C28" s="187">
        <f>C29+C35</f>
        <v>41722000000</v>
      </c>
      <c r="D28" s="187">
        <f t="shared" ref="D28:H28" si="13">D29+D35</f>
        <v>33873000000</v>
      </c>
      <c r="E28" s="187">
        <f t="shared" si="13"/>
        <v>7849000000</v>
      </c>
      <c r="F28" s="187">
        <f t="shared" si="13"/>
        <v>42410814593</v>
      </c>
      <c r="G28" s="187">
        <f t="shared" si="13"/>
        <v>34633914686</v>
      </c>
      <c r="H28" s="187">
        <f t="shared" si="13"/>
        <v>7776899907</v>
      </c>
      <c r="I28" s="191">
        <f t="shared" si="4"/>
        <v>1.0165096254494033</v>
      </c>
      <c r="J28" s="191">
        <f t="shared" si="5"/>
        <v>1.0224637524281877</v>
      </c>
      <c r="K28" s="191">
        <f t="shared" si="6"/>
        <v>0.99081410459931196</v>
      </c>
    </row>
    <row r="29" spans="1:11" s="139" customFormat="1" ht="33">
      <c r="A29" s="134">
        <v>1</v>
      </c>
      <c r="B29" s="135" t="s">
        <v>304</v>
      </c>
      <c r="C29" s="187">
        <f>SUM(C30:C34)</f>
        <v>15148000000</v>
      </c>
      <c r="D29" s="187">
        <f t="shared" ref="D29:H29" si="14">SUM(D30:D34)</f>
        <v>10849000000</v>
      </c>
      <c r="E29" s="187">
        <f t="shared" si="14"/>
        <v>4299000000</v>
      </c>
      <c r="F29" s="187">
        <f t="shared" si="14"/>
        <v>15975063788</v>
      </c>
      <c r="G29" s="187">
        <f t="shared" si="14"/>
        <v>11716174681</v>
      </c>
      <c r="H29" s="187">
        <f t="shared" si="14"/>
        <v>4258889107</v>
      </c>
      <c r="I29" s="191">
        <f t="shared" si="4"/>
        <v>1.0545988769474519</v>
      </c>
      <c r="J29" s="191">
        <f t="shared" si="5"/>
        <v>1.079931300672873</v>
      </c>
      <c r="K29" s="191">
        <f t="shared" si="6"/>
        <v>0.99066971551523608</v>
      </c>
    </row>
    <row r="30" spans="1:11" s="139" customFormat="1">
      <c r="A30" s="154" t="s">
        <v>15</v>
      </c>
      <c r="B30" s="142" t="s">
        <v>307</v>
      </c>
      <c r="C30" s="188">
        <f>SUM(D30:E30)</f>
        <v>0</v>
      </c>
      <c r="D30" s="188"/>
      <c r="E30" s="188"/>
      <c r="F30" s="188">
        <f>SUM(G30:H30)</f>
        <v>827836981</v>
      </c>
      <c r="G30" s="188">
        <v>827836981</v>
      </c>
      <c r="H30" s="188"/>
      <c r="I30" s="191"/>
      <c r="J30" s="191"/>
      <c r="K30" s="191"/>
    </row>
    <row r="31" spans="1:11" s="139" customFormat="1">
      <c r="A31" s="154" t="s">
        <v>15</v>
      </c>
      <c r="B31" s="142" t="s">
        <v>309</v>
      </c>
      <c r="C31" s="188">
        <f t="shared" ref="C31:C37" si="15">SUM(D31:E31)</f>
        <v>14371000000</v>
      </c>
      <c r="D31" s="188">
        <v>10795000000</v>
      </c>
      <c r="E31" s="188">
        <v>3576000000</v>
      </c>
      <c r="F31" s="188">
        <f t="shared" ref="F31:F37" si="16">SUM(G31:H31)</f>
        <v>14380774307</v>
      </c>
      <c r="G31" s="188">
        <v>10834337700</v>
      </c>
      <c r="H31" s="188">
        <v>3546436607</v>
      </c>
      <c r="I31" s="191">
        <f t="shared" ref="I31:I33" si="17">F31/C31</f>
        <v>1.0006801410479438</v>
      </c>
      <c r="J31" s="191">
        <f t="shared" ref="J31:J33" si="18">G31/D31</f>
        <v>1.0036440666975452</v>
      </c>
      <c r="K31" s="191">
        <f t="shared" ref="K31:K33" si="19">H31/E31</f>
        <v>0.99173283193512307</v>
      </c>
    </row>
    <row r="32" spans="1:11" s="139" customFormat="1" ht="66">
      <c r="A32" s="154" t="s">
        <v>15</v>
      </c>
      <c r="B32" s="142" t="s">
        <v>310</v>
      </c>
      <c r="C32" s="188">
        <f t="shared" si="15"/>
        <v>245000000</v>
      </c>
      <c r="D32" s="188"/>
      <c r="E32" s="188">
        <v>245000000</v>
      </c>
      <c r="F32" s="188">
        <f t="shared" si="16"/>
        <v>240492500</v>
      </c>
      <c r="G32" s="188"/>
      <c r="H32" s="188">
        <v>240492500</v>
      </c>
      <c r="I32" s="191">
        <f t="shared" si="17"/>
        <v>0.98160204081632652</v>
      </c>
      <c r="J32" s="191"/>
      <c r="K32" s="191">
        <f t="shared" si="19"/>
        <v>0.98160204081632652</v>
      </c>
    </row>
    <row r="33" spans="1:11" s="139" customFormat="1" ht="33">
      <c r="A33" s="154" t="s">
        <v>15</v>
      </c>
      <c r="B33" s="142" t="s">
        <v>311</v>
      </c>
      <c r="C33" s="188">
        <f t="shared" si="15"/>
        <v>472000000</v>
      </c>
      <c r="D33" s="188">
        <v>42000000</v>
      </c>
      <c r="E33" s="188">
        <v>430000000</v>
      </c>
      <c r="F33" s="188">
        <f t="shared" si="16"/>
        <v>465960000</v>
      </c>
      <c r="G33" s="188">
        <v>42000000</v>
      </c>
      <c r="H33" s="188">
        <v>423960000</v>
      </c>
      <c r="I33" s="191">
        <f t="shared" si="17"/>
        <v>0.98720338983050848</v>
      </c>
      <c r="J33" s="191">
        <f t="shared" si="18"/>
        <v>1</v>
      </c>
      <c r="K33" s="191">
        <f t="shared" si="19"/>
        <v>0.98595348837209307</v>
      </c>
    </row>
    <row r="34" spans="1:11" s="139" customFormat="1" ht="33">
      <c r="A34" s="154" t="s">
        <v>15</v>
      </c>
      <c r="B34" s="142" t="s">
        <v>312</v>
      </c>
      <c r="C34" s="188">
        <f t="shared" si="15"/>
        <v>60000000</v>
      </c>
      <c r="D34" s="188">
        <v>12000000</v>
      </c>
      <c r="E34" s="188">
        <v>48000000</v>
      </c>
      <c r="F34" s="188">
        <f t="shared" si="16"/>
        <v>60000000</v>
      </c>
      <c r="G34" s="188">
        <v>12000000</v>
      </c>
      <c r="H34" s="188">
        <v>48000000</v>
      </c>
      <c r="I34" s="191">
        <f t="shared" si="4"/>
        <v>1</v>
      </c>
      <c r="J34" s="191">
        <f t="shared" si="5"/>
        <v>1</v>
      </c>
      <c r="K34" s="191">
        <f t="shared" si="6"/>
        <v>1</v>
      </c>
    </row>
    <row r="35" spans="1:11" s="139" customFormat="1" ht="33">
      <c r="A35" s="134">
        <v>2</v>
      </c>
      <c r="B35" s="135" t="s">
        <v>305</v>
      </c>
      <c r="C35" s="187">
        <f>SUM(C36:C43)</f>
        <v>26574000000</v>
      </c>
      <c r="D35" s="187">
        <f t="shared" ref="D35:H35" si="20">SUM(D36:D43)</f>
        <v>23024000000</v>
      </c>
      <c r="E35" s="187">
        <f t="shared" si="20"/>
        <v>3550000000</v>
      </c>
      <c r="F35" s="187">
        <f t="shared" si="20"/>
        <v>26435750805</v>
      </c>
      <c r="G35" s="187">
        <f t="shared" si="20"/>
        <v>22917740005</v>
      </c>
      <c r="H35" s="187">
        <f t="shared" si="20"/>
        <v>3518010800</v>
      </c>
      <c r="I35" s="191">
        <f t="shared" ref="I35:I36" si="21">F35/C35</f>
        <v>0.9947975767667645</v>
      </c>
      <c r="J35" s="191">
        <f t="shared" ref="J35:J36" si="22">G35/D35</f>
        <v>0.99538481606150109</v>
      </c>
      <c r="K35" s="191">
        <f t="shared" ref="K35:K36" si="23">H35/E35</f>
        <v>0.99098895774647888</v>
      </c>
    </row>
    <row r="36" spans="1:11">
      <c r="A36" s="137" t="s">
        <v>15</v>
      </c>
      <c r="B36" s="202" t="s">
        <v>313</v>
      </c>
      <c r="C36" s="188">
        <f t="shared" si="15"/>
        <v>23024705000</v>
      </c>
      <c r="D36" s="188">
        <v>20990000000</v>
      </c>
      <c r="E36" s="188">
        <v>2034705000</v>
      </c>
      <c r="F36" s="188">
        <f t="shared" si="16"/>
        <v>22981817005</v>
      </c>
      <c r="G36" s="188">
        <v>20947449405</v>
      </c>
      <c r="H36" s="188">
        <v>2034367600</v>
      </c>
      <c r="I36" s="191">
        <f t="shared" si="21"/>
        <v>0.99813730534223999</v>
      </c>
      <c r="J36" s="191">
        <f t="shared" si="22"/>
        <v>0.99797281586469744</v>
      </c>
      <c r="K36" s="191">
        <f t="shared" si="23"/>
        <v>0.99983417743604108</v>
      </c>
    </row>
    <row r="37" spans="1:11" ht="115.5">
      <c r="A37" s="137" t="s">
        <v>15</v>
      </c>
      <c r="B37" s="202" t="s">
        <v>314</v>
      </c>
      <c r="C37" s="188">
        <f t="shared" si="15"/>
        <v>693000000</v>
      </c>
      <c r="D37" s="188">
        <v>693000000</v>
      </c>
      <c r="E37" s="188"/>
      <c r="F37" s="188">
        <f t="shared" si="16"/>
        <v>644410000</v>
      </c>
      <c r="G37" s="188">
        <v>644410000</v>
      </c>
      <c r="H37" s="188"/>
      <c r="I37" s="191">
        <f t="shared" ref="I37:I43" si="24">F37/C37</f>
        <v>0.92988455988455987</v>
      </c>
      <c r="J37" s="191">
        <f t="shared" ref="J37:J43" si="25">G37/D37</f>
        <v>0.92988455988455987</v>
      </c>
      <c r="K37" s="191"/>
    </row>
    <row r="38" spans="1:11" ht="82.5">
      <c r="A38" s="137" t="s">
        <v>15</v>
      </c>
      <c r="B38" s="202" t="s">
        <v>315</v>
      </c>
      <c r="C38" s="188">
        <f>SUM(D38:E38)</f>
        <v>1000000000</v>
      </c>
      <c r="D38" s="188">
        <v>1000000000</v>
      </c>
      <c r="E38" s="188"/>
      <c r="F38" s="188">
        <f>SUM(G38:H38)</f>
        <v>987900000</v>
      </c>
      <c r="G38" s="188">
        <v>987900000</v>
      </c>
      <c r="H38" s="188"/>
      <c r="I38" s="191">
        <f t="shared" si="24"/>
        <v>0.9879</v>
      </c>
      <c r="J38" s="191">
        <f t="shared" si="25"/>
        <v>0.9879</v>
      </c>
      <c r="K38" s="191"/>
    </row>
    <row r="39" spans="1:11">
      <c r="A39" s="137" t="s">
        <v>15</v>
      </c>
      <c r="B39" s="202" t="s">
        <v>316</v>
      </c>
      <c r="C39" s="188">
        <f t="shared" ref="C39:C43" si="26">SUM(D39:E39)</f>
        <v>236000000</v>
      </c>
      <c r="D39" s="188">
        <v>236000000</v>
      </c>
      <c r="E39" s="188"/>
      <c r="F39" s="188">
        <f t="shared" ref="F39:F43" si="27">SUM(G39:H39)</f>
        <v>235890600</v>
      </c>
      <c r="G39" s="188">
        <v>235890600</v>
      </c>
      <c r="H39" s="188"/>
      <c r="I39" s="191">
        <f t="shared" si="24"/>
        <v>0.9995364406779661</v>
      </c>
      <c r="J39" s="191">
        <f t="shared" si="25"/>
        <v>0.9995364406779661</v>
      </c>
      <c r="K39" s="191"/>
    </row>
    <row r="40" spans="1:11" ht="33">
      <c r="A40" s="137" t="s">
        <v>15</v>
      </c>
      <c r="B40" s="202" t="s">
        <v>317</v>
      </c>
      <c r="C40" s="188">
        <f t="shared" si="26"/>
        <v>800000000</v>
      </c>
      <c r="D40" s="188"/>
      <c r="E40" s="188">
        <v>800000000</v>
      </c>
      <c r="F40" s="188">
        <f t="shared" si="27"/>
        <v>781676000</v>
      </c>
      <c r="G40" s="188"/>
      <c r="H40" s="188">
        <v>781676000</v>
      </c>
      <c r="I40" s="191">
        <f t="shared" si="24"/>
        <v>0.97709500000000005</v>
      </c>
      <c r="J40" s="191"/>
      <c r="K40" s="191">
        <f t="shared" ref="K40:K43" si="28">H40/E40</f>
        <v>0.97709500000000005</v>
      </c>
    </row>
    <row r="41" spans="1:11" ht="49.5">
      <c r="A41" s="137" t="s">
        <v>15</v>
      </c>
      <c r="B41" s="202" t="s">
        <v>318</v>
      </c>
      <c r="C41" s="188">
        <f t="shared" si="26"/>
        <v>495295000</v>
      </c>
      <c r="D41" s="188"/>
      <c r="E41" s="188">
        <v>495295000</v>
      </c>
      <c r="F41" s="188">
        <f t="shared" si="27"/>
        <v>494367200</v>
      </c>
      <c r="G41" s="188"/>
      <c r="H41" s="188">
        <v>494367200</v>
      </c>
      <c r="I41" s="191">
        <f t="shared" si="24"/>
        <v>0.99812677293330243</v>
      </c>
      <c r="J41" s="191"/>
      <c r="K41" s="191">
        <f t="shared" si="28"/>
        <v>0.99812677293330243</v>
      </c>
    </row>
    <row r="42" spans="1:11" ht="132">
      <c r="A42" s="137" t="s">
        <v>15</v>
      </c>
      <c r="B42" s="202" t="s">
        <v>335</v>
      </c>
      <c r="C42" s="188">
        <f t="shared" si="26"/>
        <v>215000000</v>
      </c>
      <c r="D42" s="188">
        <v>50000000</v>
      </c>
      <c r="E42" s="188">
        <v>165000000</v>
      </c>
      <c r="F42" s="188">
        <f t="shared" si="27"/>
        <v>202600000</v>
      </c>
      <c r="G42" s="188">
        <v>50000000</v>
      </c>
      <c r="H42" s="188">
        <v>152600000</v>
      </c>
      <c r="I42" s="191">
        <f t="shared" si="24"/>
        <v>0.94232558139534883</v>
      </c>
      <c r="J42" s="191">
        <f t="shared" si="25"/>
        <v>1</v>
      </c>
      <c r="K42" s="191">
        <f t="shared" si="28"/>
        <v>0.92484848484848481</v>
      </c>
    </row>
    <row r="43" spans="1:11" ht="66">
      <c r="A43" s="137" t="s">
        <v>15</v>
      </c>
      <c r="B43" s="202" t="s">
        <v>319</v>
      </c>
      <c r="C43" s="188">
        <f t="shared" si="26"/>
        <v>110000000</v>
      </c>
      <c r="D43" s="188">
        <v>55000000</v>
      </c>
      <c r="E43" s="188">
        <v>55000000</v>
      </c>
      <c r="F43" s="188">
        <f t="shared" si="27"/>
        <v>107090000</v>
      </c>
      <c r="G43" s="188">
        <v>52090000</v>
      </c>
      <c r="H43" s="188">
        <v>55000000</v>
      </c>
      <c r="I43" s="191">
        <f t="shared" si="24"/>
        <v>0.97354545454545449</v>
      </c>
      <c r="J43" s="191">
        <f t="shared" si="25"/>
        <v>0.94709090909090909</v>
      </c>
      <c r="K43" s="191">
        <f t="shared" si="28"/>
        <v>1</v>
      </c>
    </row>
    <row r="44" spans="1:11" s="139" customFormat="1" ht="33">
      <c r="A44" s="134" t="s">
        <v>19</v>
      </c>
      <c r="B44" s="135" t="s">
        <v>203</v>
      </c>
      <c r="C44" s="187">
        <f>C45+C47+C49</f>
        <v>110000000</v>
      </c>
      <c r="D44" s="187">
        <f t="shared" ref="D44:H44" si="29">D45+D47+D49</f>
        <v>110000000</v>
      </c>
      <c r="E44" s="187">
        <f t="shared" si="29"/>
        <v>0</v>
      </c>
      <c r="F44" s="187">
        <f t="shared" si="29"/>
        <v>113000000</v>
      </c>
      <c r="G44" s="187">
        <f t="shared" si="29"/>
        <v>110000000</v>
      </c>
      <c r="H44" s="187">
        <f t="shared" si="29"/>
        <v>3000000</v>
      </c>
      <c r="I44" s="199">
        <f t="shared" si="4"/>
        <v>1.0272727272727273</v>
      </c>
      <c r="J44" s="199">
        <f t="shared" si="5"/>
        <v>1</v>
      </c>
      <c r="K44" s="199"/>
    </row>
    <row r="45" spans="1:11" ht="33">
      <c r="A45" s="155" t="s">
        <v>13</v>
      </c>
      <c r="B45" s="149" t="s">
        <v>331</v>
      </c>
      <c r="C45" s="187">
        <f>C46</f>
        <v>0</v>
      </c>
      <c r="D45" s="187">
        <f t="shared" ref="D45:H45" si="30">D46</f>
        <v>0</v>
      </c>
      <c r="E45" s="187">
        <f t="shared" si="30"/>
        <v>0</v>
      </c>
      <c r="F45" s="187">
        <f t="shared" si="30"/>
        <v>3000000</v>
      </c>
      <c r="G45" s="187">
        <f t="shared" si="30"/>
        <v>0</v>
      </c>
      <c r="H45" s="187">
        <f t="shared" si="30"/>
        <v>3000000</v>
      </c>
      <c r="I45" s="191"/>
      <c r="J45" s="191"/>
      <c r="K45" s="191"/>
    </row>
    <row r="46" spans="1:11" ht="33">
      <c r="A46" s="154" t="s">
        <v>15</v>
      </c>
      <c r="B46" s="142" t="s">
        <v>356</v>
      </c>
      <c r="C46" s="188">
        <f t="shared" ref="C46:C53" si="31">SUM(D46:E46)</f>
        <v>0</v>
      </c>
      <c r="D46" s="188"/>
      <c r="E46" s="188"/>
      <c r="F46" s="188">
        <f t="shared" ref="F46:F53" si="32">SUM(G46:H46)</f>
        <v>3000000</v>
      </c>
      <c r="G46" s="188"/>
      <c r="H46" s="188">
        <v>3000000</v>
      </c>
      <c r="I46" s="191"/>
      <c r="J46" s="191"/>
      <c r="K46" s="191"/>
    </row>
    <row r="47" spans="1:11" ht="49.5">
      <c r="A47" s="155" t="s">
        <v>21</v>
      </c>
      <c r="B47" s="149" t="s">
        <v>333</v>
      </c>
      <c r="C47" s="187">
        <f>C48</f>
        <v>10000000</v>
      </c>
      <c r="D47" s="187">
        <f t="shared" ref="D47:H47" si="33">D48</f>
        <v>10000000</v>
      </c>
      <c r="E47" s="187">
        <f t="shared" si="33"/>
        <v>0</v>
      </c>
      <c r="F47" s="187">
        <f t="shared" si="33"/>
        <v>10000000</v>
      </c>
      <c r="G47" s="187">
        <f t="shared" si="33"/>
        <v>10000000</v>
      </c>
      <c r="H47" s="187">
        <f t="shared" si="33"/>
        <v>0</v>
      </c>
      <c r="I47" s="199">
        <f t="shared" si="4"/>
        <v>1</v>
      </c>
      <c r="J47" s="199">
        <f t="shared" si="5"/>
        <v>1</v>
      </c>
      <c r="K47" s="199"/>
    </row>
    <row r="48" spans="1:11" ht="49.5">
      <c r="A48" s="154" t="s">
        <v>15</v>
      </c>
      <c r="B48" s="142" t="s">
        <v>351</v>
      </c>
      <c r="C48" s="188">
        <f t="shared" si="31"/>
        <v>10000000</v>
      </c>
      <c r="D48" s="188">
        <v>10000000</v>
      </c>
      <c r="E48" s="188"/>
      <c r="F48" s="188">
        <f t="shared" si="32"/>
        <v>10000000</v>
      </c>
      <c r="G48" s="188">
        <v>10000000</v>
      </c>
      <c r="H48" s="188"/>
      <c r="I48" s="191">
        <f t="shared" si="4"/>
        <v>1</v>
      </c>
      <c r="J48" s="191">
        <f t="shared" si="5"/>
        <v>1</v>
      </c>
      <c r="K48" s="191"/>
    </row>
    <row r="49" spans="1:11" ht="33">
      <c r="A49" s="155" t="s">
        <v>30</v>
      </c>
      <c r="B49" s="149" t="s">
        <v>334</v>
      </c>
      <c r="C49" s="187">
        <f>SUM(C50:C53)</f>
        <v>100000000</v>
      </c>
      <c r="D49" s="187">
        <f t="shared" ref="D49" si="34">SUM(D50:D53)</f>
        <v>100000000</v>
      </c>
      <c r="E49" s="187">
        <f t="shared" ref="E49" si="35">SUM(E50:E53)</f>
        <v>0</v>
      </c>
      <c r="F49" s="187">
        <f t="shared" ref="F49" si="36">SUM(F50:F53)</f>
        <v>100000000</v>
      </c>
      <c r="G49" s="187">
        <f t="shared" ref="G49" si="37">SUM(G50:G53)</f>
        <v>100000000</v>
      </c>
      <c r="H49" s="187">
        <f t="shared" ref="H49" si="38">SUM(H50:H53)</f>
        <v>0</v>
      </c>
      <c r="I49" s="199">
        <f t="shared" si="4"/>
        <v>1</v>
      </c>
      <c r="J49" s="199">
        <f t="shared" si="5"/>
        <v>1</v>
      </c>
      <c r="K49" s="191"/>
    </row>
    <row r="50" spans="1:11" ht="115.5">
      <c r="A50" s="154" t="s">
        <v>15</v>
      </c>
      <c r="B50" s="203" t="s">
        <v>352</v>
      </c>
      <c r="C50" s="188">
        <f t="shared" si="31"/>
        <v>10000000</v>
      </c>
      <c r="D50" s="204">
        <v>10000000</v>
      </c>
      <c r="E50" s="188"/>
      <c r="F50" s="188">
        <f t="shared" si="32"/>
        <v>10000000</v>
      </c>
      <c r="G50" s="188">
        <v>10000000</v>
      </c>
      <c r="H50" s="188"/>
      <c r="I50" s="191">
        <f t="shared" ref="I50:I52" si="39">F50/C50</f>
        <v>1</v>
      </c>
      <c r="J50" s="191">
        <f t="shared" ref="J50:J52" si="40">G50/D50</f>
        <v>1</v>
      </c>
      <c r="K50" s="191"/>
    </row>
    <row r="51" spans="1:11" ht="49.5">
      <c r="A51" s="154" t="s">
        <v>15</v>
      </c>
      <c r="B51" s="203" t="s">
        <v>353</v>
      </c>
      <c r="C51" s="188">
        <f t="shared" si="31"/>
        <v>40000000</v>
      </c>
      <c r="D51" s="204">
        <v>40000000</v>
      </c>
      <c r="E51" s="188"/>
      <c r="F51" s="188">
        <f t="shared" si="32"/>
        <v>40000000</v>
      </c>
      <c r="G51" s="188">
        <v>40000000</v>
      </c>
      <c r="H51" s="188"/>
      <c r="I51" s="191">
        <f t="shared" si="39"/>
        <v>1</v>
      </c>
      <c r="J51" s="191">
        <f t="shared" si="40"/>
        <v>1</v>
      </c>
      <c r="K51" s="191"/>
    </row>
    <row r="52" spans="1:11" ht="66">
      <c r="A52" s="154" t="s">
        <v>15</v>
      </c>
      <c r="B52" s="203" t="s">
        <v>354</v>
      </c>
      <c r="C52" s="188">
        <f t="shared" si="31"/>
        <v>10000000</v>
      </c>
      <c r="D52" s="204">
        <v>10000000</v>
      </c>
      <c r="E52" s="188"/>
      <c r="F52" s="188">
        <f t="shared" si="32"/>
        <v>10000000</v>
      </c>
      <c r="G52" s="188">
        <v>10000000</v>
      </c>
      <c r="H52" s="188"/>
      <c r="I52" s="191">
        <f t="shared" si="39"/>
        <v>1</v>
      </c>
      <c r="J52" s="191">
        <f t="shared" si="40"/>
        <v>1</v>
      </c>
      <c r="K52" s="191"/>
    </row>
    <row r="53" spans="1:11" ht="49.5">
      <c r="A53" s="154" t="s">
        <v>15</v>
      </c>
      <c r="B53" s="203" t="s">
        <v>355</v>
      </c>
      <c r="C53" s="188">
        <f t="shared" si="31"/>
        <v>40000000</v>
      </c>
      <c r="D53" s="204">
        <v>40000000</v>
      </c>
      <c r="E53" s="188"/>
      <c r="F53" s="188">
        <f t="shared" si="32"/>
        <v>40000000</v>
      </c>
      <c r="G53" s="188">
        <v>40000000</v>
      </c>
      <c r="H53" s="188"/>
      <c r="I53" s="191">
        <f t="shared" si="4"/>
        <v>1</v>
      </c>
      <c r="J53" s="191">
        <f t="shared" si="5"/>
        <v>1</v>
      </c>
      <c r="K53" s="191"/>
    </row>
    <row r="54" spans="1:11" ht="33">
      <c r="A54" s="134" t="s">
        <v>44</v>
      </c>
      <c r="B54" s="135" t="s">
        <v>45</v>
      </c>
      <c r="C54" s="187">
        <v>0</v>
      </c>
      <c r="D54" s="187">
        <v>0</v>
      </c>
      <c r="E54" s="187">
        <v>0</v>
      </c>
      <c r="F54" s="187">
        <f>SUM(G54:H54)</f>
        <v>59513513371</v>
      </c>
      <c r="G54" s="187">
        <f>51790927200+1059585636</f>
        <v>52850512836</v>
      </c>
      <c r="H54" s="187">
        <v>6663000535</v>
      </c>
      <c r="I54" s="191"/>
      <c r="J54" s="191"/>
      <c r="K54" s="191"/>
    </row>
    <row r="55" spans="1:11" ht="33">
      <c r="A55" s="167" t="s">
        <v>206</v>
      </c>
      <c r="B55" s="168" t="s">
        <v>338</v>
      </c>
      <c r="C55" s="189">
        <v>0</v>
      </c>
      <c r="D55" s="189">
        <v>0</v>
      </c>
      <c r="E55" s="189">
        <v>0</v>
      </c>
      <c r="F55" s="189">
        <f>SUM(G55:H55)</f>
        <v>3496564924</v>
      </c>
      <c r="G55" s="189">
        <v>2996564924</v>
      </c>
      <c r="H55" s="189">
        <v>500000000</v>
      </c>
      <c r="I55" s="192"/>
      <c r="J55" s="192"/>
      <c r="K55" s="192"/>
    </row>
    <row r="56" spans="1:11">
      <c r="A56" s="126" t="s">
        <v>0</v>
      </c>
    </row>
    <row r="57" spans="1:11">
      <c r="A57" s="333" t="s">
        <v>74</v>
      </c>
      <c r="B57" s="333"/>
      <c r="C57" s="333"/>
      <c r="D57" s="333"/>
      <c r="E57" s="333"/>
      <c r="F57" s="333"/>
      <c r="G57" s="333"/>
      <c r="H57" s="333"/>
      <c r="I57" s="333"/>
      <c r="J57" s="333"/>
      <c r="K57" s="333"/>
    </row>
  </sheetData>
  <mergeCells count="11">
    <mergeCell ref="A57:K57"/>
    <mergeCell ref="A3:K3"/>
    <mergeCell ref="A4:K4"/>
    <mergeCell ref="A8:A9"/>
    <mergeCell ref="D8:E8"/>
    <mergeCell ref="G8:H8"/>
    <mergeCell ref="I8:K8"/>
    <mergeCell ref="B8:B9"/>
    <mergeCell ref="C8:C9"/>
    <mergeCell ref="F8:F9"/>
    <mergeCell ref="J6:K6"/>
  </mergeCells>
  <pageMargins left="0.68" right="0.28000000000000003" top="0.72" bottom="0.47" header="0.3" footer="0.2"/>
  <pageSetup paperSize="9" scale="72" orientation="landscape" verticalDpi="0" r:id="rId1"/>
  <headerFooter>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3"/>
  <sheetViews>
    <sheetView showGridLines="0" view="pageBreakPreview" topLeftCell="A7" zoomScale="118" zoomScaleNormal="110" zoomScaleSheetLayoutView="118" workbookViewId="0">
      <selection activeCell="F11" sqref="F11"/>
    </sheetView>
  </sheetViews>
  <sheetFormatPr defaultRowHeight="15"/>
  <cols>
    <col min="1" max="1" width="5.140625" style="172" customWidth="1"/>
    <col min="2" max="2" width="26.28515625" style="172" customWidth="1"/>
    <col min="3" max="3" width="16.140625" style="172" customWidth="1"/>
    <col min="4" max="4" width="15.42578125" style="172" customWidth="1"/>
    <col min="5" max="5" width="15.85546875" style="172" customWidth="1"/>
    <col min="6" max="6" width="15" style="172" customWidth="1"/>
    <col min="7" max="7" width="14.42578125" style="172" customWidth="1"/>
    <col min="8" max="8" width="13.42578125" style="172" customWidth="1"/>
    <col min="9" max="9" width="14.7109375" style="172" customWidth="1"/>
    <col min="10" max="10" width="16.140625" style="172" customWidth="1"/>
    <col min="11" max="11" width="15.140625" style="172" customWidth="1"/>
    <col min="12" max="12" width="15.42578125" style="172" customWidth="1"/>
    <col min="13" max="13" width="14.85546875" style="172" customWidth="1"/>
    <col min="14" max="14" width="14.28515625" style="172" customWidth="1"/>
    <col min="15" max="15" width="14" style="172" customWidth="1"/>
    <col min="16" max="16" width="14.7109375" style="172" customWidth="1"/>
    <col min="17" max="17" width="9.7109375" style="172" customWidth="1"/>
    <col min="18" max="18" width="11" style="172" customWidth="1"/>
    <col min="19" max="19" width="11.28515625" style="172" customWidth="1"/>
    <col min="20" max="20" width="8.85546875" style="172" customWidth="1"/>
    <col min="21" max="21" width="9" style="172" customWidth="1"/>
    <col min="22" max="22" width="8.42578125" style="172" customWidth="1"/>
    <col min="23" max="23" width="11.42578125" style="172" customWidth="1"/>
    <col min="24" max="16384" width="9.140625" style="172"/>
  </cols>
  <sheetData>
    <row r="1" spans="1:23">
      <c r="A1" s="256" t="s">
        <v>75</v>
      </c>
      <c r="B1" s="255"/>
      <c r="C1" s="255"/>
      <c r="D1" s="255"/>
      <c r="E1" s="255"/>
      <c r="F1" s="255"/>
      <c r="G1" s="255"/>
      <c r="H1" s="255"/>
      <c r="I1" s="255"/>
      <c r="J1" s="255"/>
      <c r="K1" s="255"/>
      <c r="L1" s="255"/>
      <c r="M1" s="255"/>
      <c r="N1" s="255"/>
      <c r="O1" s="255"/>
      <c r="P1" s="255"/>
      <c r="Q1" s="255"/>
      <c r="R1" s="255"/>
      <c r="S1" s="255"/>
      <c r="T1" s="255"/>
      <c r="U1" s="255"/>
      <c r="V1" s="255"/>
      <c r="W1" s="255"/>
    </row>
    <row r="2" spans="1:23" ht="18">
      <c r="A2" s="341" t="s">
        <v>76</v>
      </c>
      <c r="B2" s="341"/>
      <c r="C2" s="341"/>
      <c r="D2" s="341"/>
      <c r="E2" s="341"/>
      <c r="F2" s="341"/>
      <c r="G2" s="341"/>
      <c r="H2" s="341"/>
      <c r="I2" s="341"/>
      <c r="J2" s="341"/>
      <c r="K2" s="341"/>
      <c r="L2" s="341"/>
      <c r="M2" s="341"/>
      <c r="N2" s="341"/>
      <c r="O2" s="341"/>
      <c r="P2" s="341"/>
      <c r="Q2" s="341"/>
      <c r="R2" s="341"/>
      <c r="S2" s="341"/>
      <c r="T2" s="341"/>
      <c r="U2" s="341"/>
      <c r="V2" s="341"/>
      <c r="W2" s="341"/>
    </row>
    <row r="3" spans="1:23">
      <c r="A3" s="342" t="s">
        <v>2</v>
      </c>
      <c r="B3" s="342"/>
      <c r="C3" s="342"/>
      <c r="D3" s="342"/>
      <c r="E3" s="342"/>
      <c r="F3" s="342"/>
      <c r="G3" s="342"/>
      <c r="H3" s="342"/>
      <c r="I3" s="342"/>
      <c r="J3" s="342"/>
      <c r="K3" s="342"/>
      <c r="L3" s="342"/>
      <c r="M3" s="342"/>
      <c r="N3" s="342"/>
      <c r="O3" s="342"/>
      <c r="P3" s="342"/>
      <c r="Q3" s="342"/>
      <c r="R3" s="342"/>
      <c r="S3" s="342"/>
      <c r="T3" s="342"/>
      <c r="U3" s="342"/>
      <c r="V3" s="342"/>
      <c r="W3" s="342"/>
    </row>
    <row r="4" spans="1:23">
      <c r="B4" s="217"/>
      <c r="C4" s="217"/>
      <c r="D4" s="217"/>
      <c r="E4" s="217"/>
      <c r="F4" s="217"/>
      <c r="G4" s="217"/>
      <c r="H4" s="217"/>
      <c r="I4" s="217"/>
      <c r="J4" s="217"/>
      <c r="K4" s="217"/>
      <c r="L4" s="217"/>
      <c r="M4" s="217"/>
      <c r="N4" s="217"/>
      <c r="O4" s="217"/>
      <c r="P4" s="217"/>
      <c r="Q4" s="217"/>
      <c r="R4" s="217"/>
      <c r="S4" s="217"/>
      <c r="T4" s="217"/>
      <c r="U4" s="217"/>
      <c r="V4" s="338" t="s">
        <v>3</v>
      </c>
      <c r="W4" s="338"/>
    </row>
    <row r="5" spans="1:23" ht="22.5" customHeight="1">
      <c r="A5" s="337" t="s">
        <v>4</v>
      </c>
      <c r="B5" s="337" t="s">
        <v>77</v>
      </c>
      <c r="C5" s="337" t="s">
        <v>357</v>
      </c>
      <c r="D5" s="337"/>
      <c r="E5" s="337"/>
      <c r="F5" s="337"/>
      <c r="G5" s="337"/>
      <c r="H5" s="337"/>
      <c r="I5" s="337"/>
      <c r="J5" s="337" t="s">
        <v>7</v>
      </c>
      <c r="K5" s="337"/>
      <c r="L5" s="337"/>
      <c r="M5" s="337"/>
      <c r="N5" s="337"/>
      <c r="O5" s="337"/>
      <c r="P5" s="337"/>
      <c r="Q5" s="337" t="s">
        <v>8</v>
      </c>
      <c r="R5" s="337"/>
      <c r="S5" s="337"/>
      <c r="T5" s="337"/>
      <c r="U5" s="337"/>
      <c r="V5" s="337"/>
      <c r="W5" s="337"/>
    </row>
    <row r="6" spans="1:23" ht="21.75" customHeight="1">
      <c r="A6" s="337"/>
      <c r="B6" s="337"/>
      <c r="C6" s="337" t="s">
        <v>78</v>
      </c>
      <c r="D6" s="337" t="s">
        <v>513</v>
      </c>
      <c r="E6" s="337" t="s">
        <v>511</v>
      </c>
      <c r="F6" s="337" t="s">
        <v>79</v>
      </c>
      <c r="G6" s="337"/>
      <c r="H6" s="337"/>
      <c r="I6" s="337" t="s">
        <v>80</v>
      </c>
      <c r="J6" s="337" t="s">
        <v>78</v>
      </c>
      <c r="K6" s="337" t="s">
        <v>510</v>
      </c>
      <c r="L6" s="337" t="s">
        <v>512</v>
      </c>
      <c r="M6" s="337" t="s">
        <v>79</v>
      </c>
      <c r="N6" s="337"/>
      <c r="O6" s="337"/>
      <c r="P6" s="337" t="s">
        <v>80</v>
      </c>
      <c r="Q6" s="337" t="s">
        <v>78</v>
      </c>
      <c r="R6" s="337" t="s">
        <v>510</v>
      </c>
      <c r="S6" s="337" t="s">
        <v>512</v>
      </c>
      <c r="T6" s="337" t="s">
        <v>79</v>
      </c>
      <c r="U6" s="337"/>
      <c r="V6" s="337"/>
      <c r="W6" s="337" t="s">
        <v>514</v>
      </c>
    </row>
    <row r="7" spans="1:23">
      <c r="A7" s="337"/>
      <c r="B7" s="337"/>
      <c r="C7" s="337"/>
      <c r="D7" s="337"/>
      <c r="E7" s="337"/>
      <c r="F7" s="337" t="s">
        <v>78</v>
      </c>
      <c r="G7" s="337" t="s">
        <v>12</v>
      </c>
      <c r="H7" s="337" t="s">
        <v>20</v>
      </c>
      <c r="I7" s="337"/>
      <c r="J7" s="337"/>
      <c r="K7" s="337"/>
      <c r="L7" s="337"/>
      <c r="M7" s="337" t="s">
        <v>78</v>
      </c>
      <c r="N7" s="337" t="s">
        <v>12</v>
      </c>
      <c r="O7" s="337" t="s">
        <v>20</v>
      </c>
      <c r="P7" s="337"/>
      <c r="Q7" s="337"/>
      <c r="R7" s="337"/>
      <c r="S7" s="337"/>
      <c r="T7" s="337" t="s">
        <v>78</v>
      </c>
      <c r="U7" s="337" t="s">
        <v>12</v>
      </c>
      <c r="V7" s="337" t="s">
        <v>20</v>
      </c>
      <c r="W7" s="337"/>
    </row>
    <row r="8" spans="1:23" ht="51.75" customHeight="1">
      <c r="A8" s="337"/>
      <c r="B8" s="337"/>
      <c r="C8" s="337"/>
      <c r="D8" s="337"/>
      <c r="E8" s="337"/>
      <c r="F8" s="337"/>
      <c r="G8" s="337"/>
      <c r="H8" s="337"/>
      <c r="I8" s="337"/>
      <c r="J8" s="337"/>
      <c r="K8" s="337"/>
      <c r="L8" s="337"/>
      <c r="M8" s="337"/>
      <c r="N8" s="337"/>
      <c r="O8" s="337"/>
      <c r="P8" s="337"/>
      <c r="Q8" s="337"/>
      <c r="R8" s="337"/>
      <c r="S8" s="337"/>
      <c r="T8" s="337"/>
      <c r="U8" s="337"/>
      <c r="V8" s="337"/>
      <c r="W8" s="337"/>
    </row>
    <row r="9" spans="1:23">
      <c r="A9" s="212" t="s">
        <v>9</v>
      </c>
      <c r="B9" s="212" t="s">
        <v>26</v>
      </c>
      <c r="C9" s="212" t="s">
        <v>13</v>
      </c>
      <c r="D9" s="212" t="s">
        <v>21</v>
      </c>
      <c r="E9" s="212" t="s">
        <v>30</v>
      </c>
      <c r="F9" s="212" t="s">
        <v>31</v>
      </c>
      <c r="G9" s="212" t="s">
        <v>32</v>
      </c>
      <c r="H9" s="212" t="s">
        <v>33</v>
      </c>
      <c r="I9" s="212" t="s">
        <v>34</v>
      </c>
      <c r="J9" s="212" t="s">
        <v>35</v>
      </c>
      <c r="K9" s="212" t="s">
        <v>36</v>
      </c>
      <c r="L9" s="212" t="s">
        <v>37</v>
      </c>
      <c r="M9" s="212" t="s">
        <v>38</v>
      </c>
      <c r="N9" s="212" t="s">
        <v>39</v>
      </c>
      <c r="O9" s="212" t="s">
        <v>40</v>
      </c>
      <c r="P9" s="212" t="s">
        <v>41</v>
      </c>
      <c r="Q9" s="212" t="s">
        <v>42</v>
      </c>
      <c r="R9" s="212" t="s">
        <v>43</v>
      </c>
      <c r="S9" s="212" t="s">
        <v>81</v>
      </c>
      <c r="T9" s="212" t="s">
        <v>82</v>
      </c>
      <c r="U9" s="212" t="s">
        <v>83</v>
      </c>
      <c r="V9" s="212" t="s">
        <v>84</v>
      </c>
      <c r="W9" s="212" t="s">
        <v>85</v>
      </c>
    </row>
    <row r="10" spans="1:23" s="214" customFormat="1" ht="25.5" customHeight="1">
      <c r="A10" s="215"/>
      <c r="B10" s="211" t="s">
        <v>125</v>
      </c>
      <c r="C10" s="213">
        <f>C11+C115+C116+C117+C118</f>
        <v>352121399265</v>
      </c>
      <c r="D10" s="213">
        <f t="shared" ref="D10:P10" si="0">D11+D115+D116+D117+D118</f>
        <v>34428000000</v>
      </c>
      <c r="E10" s="213">
        <f t="shared" si="0"/>
        <v>253234633348</v>
      </c>
      <c r="F10" s="213">
        <f t="shared" si="0"/>
        <v>41203000000</v>
      </c>
      <c r="G10" s="213">
        <f t="shared" si="0"/>
        <v>39005000000</v>
      </c>
      <c r="H10" s="213">
        <f t="shared" si="0"/>
        <v>2198000000</v>
      </c>
      <c r="I10" s="213">
        <f t="shared" si="0"/>
        <v>23255765917</v>
      </c>
      <c r="J10" s="213">
        <f t="shared" si="0"/>
        <v>344193339400</v>
      </c>
      <c r="K10" s="213">
        <f t="shared" si="0"/>
        <v>41187051258</v>
      </c>
      <c r="L10" s="213">
        <f t="shared" si="0"/>
        <v>246108552667</v>
      </c>
      <c r="M10" s="213">
        <f t="shared" si="0"/>
        <v>34743914686</v>
      </c>
      <c r="N10" s="213">
        <f t="shared" si="0"/>
        <v>32609624086</v>
      </c>
      <c r="O10" s="213">
        <f t="shared" si="0"/>
        <v>2134290600</v>
      </c>
      <c r="P10" s="213">
        <f t="shared" si="0"/>
        <v>22153820789</v>
      </c>
      <c r="Q10" s="223">
        <f t="shared" ref="Q10:Q11" si="1">J10/C10</f>
        <v>0.97748486777131804</v>
      </c>
      <c r="R10" s="223">
        <f t="shared" ref="R10:R11" si="2">K10/D10</f>
        <v>1.1963242493900315</v>
      </c>
      <c r="S10" s="223">
        <f t="shared" ref="S10:S11" si="3">L10/E10</f>
        <v>0.97185977057408568</v>
      </c>
      <c r="T10" s="223">
        <f t="shared" ref="T10:T11" si="4">M10/F10</f>
        <v>0.843237499356843</v>
      </c>
      <c r="U10" s="223">
        <f t="shared" ref="U10:U11" si="5">N10/G10</f>
        <v>0.83603702309960259</v>
      </c>
      <c r="V10" s="223">
        <f t="shared" ref="V10:V11" si="6">O10/H10</f>
        <v>0.97101483166515012</v>
      </c>
      <c r="W10" s="223">
        <f t="shared" ref="W10:W11" si="7">P10/I10</f>
        <v>0.95261626162161894</v>
      </c>
    </row>
    <row r="11" spans="1:23" s="214" customFormat="1">
      <c r="A11" s="210" t="s">
        <v>11</v>
      </c>
      <c r="B11" s="209" t="s">
        <v>92</v>
      </c>
      <c r="C11" s="218">
        <f t="shared" ref="C11:P11" si="8">SUM(C12:C119)</f>
        <v>352121399265</v>
      </c>
      <c r="D11" s="218">
        <f t="shared" si="8"/>
        <v>34428000000</v>
      </c>
      <c r="E11" s="218">
        <f t="shared" si="8"/>
        <v>253234633348</v>
      </c>
      <c r="F11" s="218">
        <f t="shared" si="8"/>
        <v>41203000000</v>
      </c>
      <c r="G11" s="218">
        <f t="shared" si="8"/>
        <v>39005000000</v>
      </c>
      <c r="H11" s="218">
        <f t="shared" si="8"/>
        <v>2198000000</v>
      </c>
      <c r="I11" s="218">
        <f t="shared" si="8"/>
        <v>23255765917</v>
      </c>
      <c r="J11" s="218">
        <f t="shared" si="8"/>
        <v>344193339400</v>
      </c>
      <c r="K11" s="218">
        <f t="shared" si="8"/>
        <v>41187051258</v>
      </c>
      <c r="L11" s="218">
        <f t="shared" si="8"/>
        <v>246108552667</v>
      </c>
      <c r="M11" s="218">
        <f t="shared" si="8"/>
        <v>34743914686</v>
      </c>
      <c r="N11" s="218">
        <f t="shared" si="8"/>
        <v>32609624086</v>
      </c>
      <c r="O11" s="218">
        <f t="shared" si="8"/>
        <v>2134290600</v>
      </c>
      <c r="P11" s="218">
        <f t="shared" si="8"/>
        <v>22153820789</v>
      </c>
      <c r="Q11" s="223">
        <f t="shared" si="1"/>
        <v>0.97748486777131804</v>
      </c>
      <c r="R11" s="223">
        <f t="shared" si="2"/>
        <v>1.1963242493900315</v>
      </c>
      <c r="S11" s="223">
        <f t="shared" si="3"/>
        <v>0.97185977057408568</v>
      </c>
      <c r="T11" s="223">
        <f t="shared" si="4"/>
        <v>0.843237499356843</v>
      </c>
      <c r="U11" s="223">
        <f t="shared" si="5"/>
        <v>0.83603702309960259</v>
      </c>
      <c r="V11" s="223">
        <f t="shared" si="6"/>
        <v>0.97101483166515012</v>
      </c>
      <c r="W11" s="223">
        <f t="shared" si="7"/>
        <v>0.95261626162161894</v>
      </c>
    </row>
    <row r="12" spans="1:23" ht="25.5">
      <c r="A12" s="216" t="s">
        <v>13</v>
      </c>
      <c r="B12" s="205" t="s">
        <v>93</v>
      </c>
      <c r="C12" s="206">
        <f>D12+E12+F12+I12</f>
        <v>7488991665</v>
      </c>
      <c r="D12" s="206"/>
      <c r="E12" s="206">
        <v>7239444000</v>
      </c>
      <c r="F12" s="206">
        <f>G12+H12</f>
        <v>0</v>
      </c>
      <c r="G12" s="206"/>
      <c r="H12" s="206"/>
      <c r="I12" s="206">
        <v>249547665</v>
      </c>
      <c r="J12" s="206">
        <f>K12+L12+M12+P12</f>
        <v>7062432077</v>
      </c>
      <c r="K12" s="206">
        <v>0</v>
      </c>
      <c r="L12" s="206">
        <v>6708543833</v>
      </c>
      <c r="M12" s="206">
        <f>N12+O12</f>
        <v>0</v>
      </c>
      <c r="N12" s="206">
        <v>0</v>
      </c>
      <c r="O12" s="206">
        <v>0</v>
      </c>
      <c r="P12" s="206">
        <v>353888244</v>
      </c>
      <c r="Q12" s="224">
        <f>J12/C12</f>
        <v>0.94304178625361046</v>
      </c>
      <c r="R12" s="224"/>
      <c r="S12" s="224">
        <f t="shared" ref="S12:W12" si="9">L12/E12</f>
        <v>0.92666561589536434</v>
      </c>
      <c r="T12" s="224"/>
      <c r="U12" s="224"/>
      <c r="V12" s="224"/>
      <c r="W12" s="224">
        <f t="shared" si="9"/>
        <v>1.4181188351331597</v>
      </c>
    </row>
    <row r="13" spans="1:23" ht="25.5">
      <c r="A13" s="216" t="s">
        <v>21</v>
      </c>
      <c r="B13" s="205" t="s">
        <v>94</v>
      </c>
      <c r="C13" s="206">
        <f t="shared" ref="C13:C31" si="10">D13+E13+F13+I13</f>
        <v>9228512794</v>
      </c>
      <c r="D13" s="206"/>
      <c r="E13" s="206">
        <v>7335862500</v>
      </c>
      <c r="F13" s="206">
        <f t="shared" ref="F13:F31" si="11">G13+H13</f>
        <v>1558000000</v>
      </c>
      <c r="G13" s="206"/>
      <c r="H13" s="206">
        <v>1558000000</v>
      </c>
      <c r="I13" s="206">
        <v>334650294</v>
      </c>
      <c r="J13" s="206">
        <f t="shared" ref="J13:J57" si="12">K13+L13+M13+P13</f>
        <v>8391685647</v>
      </c>
      <c r="K13" s="206">
        <v>0</v>
      </c>
      <c r="L13" s="206">
        <v>6872032884</v>
      </c>
      <c r="M13" s="206">
        <f t="shared" ref="M13:M77" si="13">N13+O13</f>
        <v>1518280000</v>
      </c>
      <c r="N13" s="206">
        <v>0</v>
      </c>
      <c r="O13" s="206">
        <v>1518280000</v>
      </c>
      <c r="P13" s="206">
        <v>1372763</v>
      </c>
      <c r="Q13" s="224">
        <f t="shared" ref="Q13:Q76" si="14">J13/C13</f>
        <v>0.90932155964024119</v>
      </c>
      <c r="R13" s="224"/>
      <c r="S13" s="224">
        <f t="shared" ref="S13:S76" si="15">L13/E13</f>
        <v>0.93677231327604626</v>
      </c>
      <c r="T13" s="224">
        <f t="shared" ref="T13:T21" si="16">M13/F13</f>
        <v>0.97450577663671378</v>
      </c>
      <c r="U13" s="224"/>
      <c r="V13" s="224">
        <f t="shared" ref="V13:V21" si="17">O13/H13</f>
        <v>0.97450577663671378</v>
      </c>
      <c r="W13" s="224">
        <f t="shared" ref="W13:W76" si="18">P13/I13</f>
        <v>4.102082157441643E-3</v>
      </c>
    </row>
    <row r="14" spans="1:23" ht="25.5">
      <c r="A14" s="216" t="s">
        <v>30</v>
      </c>
      <c r="B14" s="205" t="s">
        <v>358</v>
      </c>
      <c r="C14" s="206">
        <f t="shared" si="10"/>
        <v>60470291858</v>
      </c>
      <c r="D14" s="206">
        <v>34028000000</v>
      </c>
      <c r="E14" s="206">
        <v>14625648367</v>
      </c>
      <c r="F14" s="206">
        <f t="shared" si="11"/>
        <v>0</v>
      </c>
      <c r="G14" s="206"/>
      <c r="H14" s="206"/>
      <c r="I14" s="206">
        <f>4611657000+6766796891+438189600</f>
        <v>11816643491</v>
      </c>
      <c r="J14" s="206">
        <f t="shared" si="12"/>
        <v>60133675377</v>
      </c>
      <c r="K14" s="206">
        <f>39534604810+7299000</f>
        <v>39541903810</v>
      </c>
      <c r="L14" s="206">
        <v>16269151567</v>
      </c>
      <c r="M14" s="206">
        <f t="shared" si="13"/>
        <v>413630000</v>
      </c>
      <c r="N14" s="206">
        <v>413630000</v>
      </c>
      <c r="O14" s="206"/>
      <c r="P14" s="206">
        <f>2812770000+1096220000</f>
        <v>3908990000</v>
      </c>
      <c r="Q14" s="224">
        <f t="shared" si="14"/>
        <v>0.994433357758708</v>
      </c>
      <c r="R14" s="224">
        <f t="shared" ref="R14" si="19">K14/D14</f>
        <v>1.1620401966027978</v>
      </c>
      <c r="S14" s="224">
        <f t="shared" si="15"/>
        <v>1.1123713054464137</v>
      </c>
      <c r="T14" s="224"/>
      <c r="U14" s="224"/>
      <c r="V14" s="224"/>
      <c r="W14" s="224">
        <f t="shared" si="18"/>
        <v>0.33080375175719179</v>
      </c>
    </row>
    <row r="15" spans="1:23">
      <c r="A15" s="216" t="s">
        <v>31</v>
      </c>
      <c r="B15" s="205" t="s">
        <v>98</v>
      </c>
      <c r="C15" s="206">
        <f>D15+E15+F15+I15</f>
        <v>10608995363</v>
      </c>
      <c r="D15" s="206"/>
      <c r="E15" s="206">
        <v>8372985000</v>
      </c>
      <c r="F15" s="206">
        <f>G15+H15</f>
        <v>236000000</v>
      </c>
      <c r="G15" s="206"/>
      <c r="H15" s="206">
        <v>236000000</v>
      </c>
      <c r="I15" s="206">
        <v>2000010363</v>
      </c>
      <c r="J15" s="206">
        <f t="shared" si="12"/>
        <v>10057116796</v>
      </c>
      <c r="K15" s="206">
        <v>0</v>
      </c>
      <c r="L15" s="206">
        <v>9791039623</v>
      </c>
      <c r="M15" s="206">
        <f t="shared" si="13"/>
        <v>235890600</v>
      </c>
      <c r="N15" s="206">
        <v>0</v>
      </c>
      <c r="O15" s="206">
        <v>235890600</v>
      </c>
      <c r="P15" s="206">
        <v>30186573</v>
      </c>
      <c r="Q15" s="224">
        <f t="shared" si="14"/>
        <v>0.94798012930378539</v>
      </c>
      <c r="R15" s="224"/>
      <c r="S15" s="224">
        <f t="shared" si="15"/>
        <v>1.1693607026645814</v>
      </c>
      <c r="T15" s="224">
        <f t="shared" si="16"/>
        <v>0.9995364406779661</v>
      </c>
      <c r="U15" s="224"/>
      <c r="V15" s="224">
        <f t="shared" si="17"/>
        <v>0.9995364406779661</v>
      </c>
      <c r="W15" s="224">
        <f t="shared" si="18"/>
        <v>1.5093208294541222E-2</v>
      </c>
    </row>
    <row r="16" spans="1:23">
      <c r="A16" s="216" t="s">
        <v>32</v>
      </c>
      <c r="B16" s="205" t="s">
        <v>95</v>
      </c>
      <c r="C16" s="206">
        <f t="shared" si="10"/>
        <v>529232157</v>
      </c>
      <c r="D16" s="206"/>
      <c r="E16" s="206">
        <v>529232157</v>
      </c>
      <c r="F16" s="206">
        <f t="shared" si="11"/>
        <v>0</v>
      </c>
      <c r="G16" s="206"/>
      <c r="H16" s="206"/>
      <c r="I16" s="206"/>
      <c r="J16" s="206">
        <f t="shared" si="12"/>
        <v>529028157</v>
      </c>
      <c r="K16" s="206">
        <v>0</v>
      </c>
      <c r="L16" s="206">
        <v>527501575</v>
      </c>
      <c r="M16" s="206">
        <f t="shared" si="13"/>
        <v>0</v>
      </c>
      <c r="N16" s="206">
        <v>0</v>
      </c>
      <c r="O16" s="206">
        <v>0</v>
      </c>
      <c r="P16" s="206">
        <v>1526582</v>
      </c>
      <c r="Q16" s="224">
        <f t="shared" si="14"/>
        <v>0.99961453589449967</v>
      </c>
      <c r="R16" s="224"/>
      <c r="S16" s="224">
        <f t="shared" si="15"/>
        <v>0.99673001351654444</v>
      </c>
      <c r="T16" s="224"/>
      <c r="U16" s="224"/>
      <c r="V16" s="224"/>
      <c r="W16" s="224"/>
    </row>
    <row r="17" spans="1:23">
      <c r="A17" s="216" t="s">
        <v>33</v>
      </c>
      <c r="B17" s="205" t="s">
        <v>96</v>
      </c>
      <c r="C17" s="206">
        <f t="shared" si="10"/>
        <v>1320348796</v>
      </c>
      <c r="D17" s="206"/>
      <c r="E17" s="206">
        <f>1288838000+30000000</f>
        <v>1318838000</v>
      </c>
      <c r="F17" s="206">
        <f t="shared" si="11"/>
        <v>0</v>
      </c>
      <c r="G17" s="206"/>
      <c r="H17" s="206"/>
      <c r="I17" s="206">
        <v>1510796</v>
      </c>
      <c r="J17" s="206">
        <f t="shared" si="12"/>
        <v>1318668822</v>
      </c>
      <c r="K17" s="206">
        <v>0</v>
      </c>
      <c r="L17" s="206">
        <v>1317154225</v>
      </c>
      <c r="M17" s="206">
        <f t="shared" si="13"/>
        <v>0</v>
      </c>
      <c r="N17" s="206">
        <v>0</v>
      </c>
      <c r="O17" s="206">
        <v>0</v>
      </c>
      <c r="P17" s="206">
        <v>1514597</v>
      </c>
      <c r="Q17" s="224">
        <f t="shared" si="14"/>
        <v>0.99872762863488085</v>
      </c>
      <c r="R17" s="224"/>
      <c r="S17" s="224">
        <f t="shared" si="15"/>
        <v>0.99872328898621365</v>
      </c>
      <c r="T17" s="224"/>
      <c r="U17" s="224"/>
      <c r="V17" s="224"/>
      <c r="W17" s="224">
        <f t="shared" si="18"/>
        <v>1.0025158922845969</v>
      </c>
    </row>
    <row r="18" spans="1:23">
      <c r="A18" s="216" t="s">
        <v>34</v>
      </c>
      <c r="B18" s="205" t="s">
        <v>97</v>
      </c>
      <c r="C18" s="206">
        <f t="shared" si="10"/>
        <v>2168069235</v>
      </c>
      <c r="D18" s="206"/>
      <c r="E18" s="206">
        <v>2166501490</v>
      </c>
      <c r="F18" s="206">
        <f t="shared" si="11"/>
        <v>0</v>
      </c>
      <c r="G18" s="206"/>
      <c r="H18" s="206"/>
      <c r="I18" s="206">
        <v>1567745</v>
      </c>
      <c r="J18" s="206">
        <f t="shared" si="12"/>
        <v>2168065235</v>
      </c>
      <c r="K18" s="206">
        <v>0</v>
      </c>
      <c r="L18" s="206">
        <v>1016573405</v>
      </c>
      <c r="M18" s="206">
        <f t="shared" si="13"/>
        <v>0</v>
      </c>
      <c r="N18" s="206">
        <v>0</v>
      </c>
      <c r="O18" s="206">
        <v>0</v>
      </c>
      <c r="P18" s="206">
        <v>1151491830</v>
      </c>
      <c r="Q18" s="224">
        <f t="shared" si="14"/>
        <v>0.99999815504046852</v>
      </c>
      <c r="R18" s="224"/>
      <c r="S18" s="224">
        <f t="shared" si="15"/>
        <v>0.46922349681836589</v>
      </c>
      <c r="T18" s="224"/>
      <c r="U18" s="224"/>
      <c r="V18" s="224"/>
      <c r="W18" s="224">
        <f>P18/I18</f>
        <v>734.48923772679871</v>
      </c>
    </row>
    <row r="19" spans="1:23">
      <c r="A19" s="216" t="s">
        <v>35</v>
      </c>
      <c r="B19" s="205" t="s">
        <v>99</v>
      </c>
      <c r="C19" s="206">
        <f t="shared" si="10"/>
        <v>366229104</v>
      </c>
      <c r="D19" s="206"/>
      <c r="E19" s="206">
        <v>253972000</v>
      </c>
      <c r="F19" s="206">
        <f t="shared" si="11"/>
        <v>0</v>
      </c>
      <c r="G19" s="206"/>
      <c r="H19" s="206"/>
      <c r="I19" s="206">
        <v>112257104</v>
      </c>
      <c r="J19" s="206">
        <f t="shared" si="12"/>
        <v>366229104</v>
      </c>
      <c r="K19" s="206">
        <v>0</v>
      </c>
      <c r="L19" s="206">
        <v>366229104</v>
      </c>
      <c r="M19" s="206">
        <f t="shared" si="13"/>
        <v>0</v>
      </c>
      <c r="N19" s="206">
        <v>0</v>
      </c>
      <c r="O19" s="206">
        <v>0</v>
      </c>
      <c r="P19" s="206">
        <v>0</v>
      </c>
      <c r="Q19" s="224">
        <f t="shared" si="14"/>
        <v>1</v>
      </c>
      <c r="R19" s="224"/>
      <c r="S19" s="224">
        <f t="shared" si="15"/>
        <v>1.4420058274140457</v>
      </c>
      <c r="T19" s="224"/>
      <c r="U19" s="224"/>
      <c r="V19" s="224"/>
      <c r="W19" s="224">
        <f t="shared" si="18"/>
        <v>0</v>
      </c>
    </row>
    <row r="20" spans="1:23" ht="25.5">
      <c r="A20" s="216" t="s">
        <v>36</v>
      </c>
      <c r="B20" s="205" t="s">
        <v>100</v>
      </c>
      <c r="C20" s="206">
        <f t="shared" si="10"/>
        <v>11411900751</v>
      </c>
      <c r="D20" s="206"/>
      <c r="E20" s="206">
        <f>10742699000</f>
        <v>10742699000</v>
      </c>
      <c r="F20" s="206">
        <f t="shared" si="11"/>
        <v>387000000</v>
      </c>
      <c r="G20" s="206"/>
      <c r="H20" s="206">
        <f>277000000+110000000</f>
        <v>387000000</v>
      </c>
      <c r="I20" s="206">
        <v>282201751</v>
      </c>
      <c r="J20" s="206">
        <f t="shared" si="12"/>
        <v>8767995951</v>
      </c>
      <c r="K20" s="206">
        <v>0</v>
      </c>
      <c r="L20" s="206">
        <v>8404875951</v>
      </c>
      <c r="M20" s="206">
        <f t="shared" si="13"/>
        <v>363120000</v>
      </c>
      <c r="N20" s="206">
        <v>0</v>
      </c>
      <c r="O20" s="206">
        <v>363120000</v>
      </c>
      <c r="P20" s="206">
        <v>0</v>
      </c>
      <c r="Q20" s="224">
        <f t="shared" si="14"/>
        <v>0.76832038258233881</v>
      </c>
      <c r="R20" s="224"/>
      <c r="S20" s="224">
        <f t="shared" si="15"/>
        <v>0.78238028925505587</v>
      </c>
      <c r="T20" s="224">
        <f t="shared" si="16"/>
        <v>0.93829457364341085</v>
      </c>
      <c r="U20" s="224"/>
      <c r="V20" s="224">
        <f t="shared" si="17"/>
        <v>0.93829457364341085</v>
      </c>
      <c r="W20" s="224">
        <f t="shared" si="18"/>
        <v>0</v>
      </c>
    </row>
    <row r="21" spans="1:23">
      <c r="A21" s="216" t="s">
        <v>37</v>
      </c>
      <c r="B21" s="205" t="s">
        <v>101</v>
      </c>
      <c r="C21" s="206">
        <f t="shared" si="10"/>
        <v>1234587263</v>
      </c>
      <c r="D21" s="206"/>
      <c r="E21" s="206">
        <f>1106978763+9000000+99690000</f>
        <v>1215668763</v>
      </c>
      <c r="F21" s="206">
        <f t="shared" si="11"/>
        <v>17000000</v>
      </c>
      <c r="G21" s="206"/>
      <c r="H21" s="206">
        <v>17000000</v>
      </c>
      <c r="I21" s="206">
        <v>1918500</v>
      </c>
      <c r="J21" s="206">
        <f t="shared" si="12"/>
        <v>1234587263</v>
      </c>
      <c r="K21" s="206">
        <v>0</v>
      </c>
      <c r="L21" s="206">
        <f>1115430241+99690000</f>
        <v>1215120241</v>
      </c>
      <c r="M21" s="206">
        <f t="shared" si="13"/>
        <v>17000000</v>
      </c>
      <c r="N21" s="206">
        <v>0</v>
      </c>
      <c r="O21" s="206">
        <v>17000000</v>
      </c>
      <c r="P21" s="206">
        <v>2467022</v>
      </c>
      <c r="Q21" s="224">
        <f t="shared" si="14"/>
        <v>1</v>
      </c>
      <c r="R21" s="224"/>
      <c r="S21" s="224">
        <f t="shared" si="15"/>
        <v>0.99954878991984097</v>
      </c>
      <c r="T21" s="224">
        <f t="shared" si="16"/>
        <v>1</v>
      </c>
      <c r="U21" s="224"/>
      <c r="V21" s="224">
        <f t="shared" si="17"/>
        <v>1</v>
      </c>
      <c r="W21" s="224">
        <f t="shared" si="18"/>
        <v>1.285911910346625</v>
      </c>
    </row>
    <row r="22" spans="1:23" ht="25.5">
      <c r="A22" s="216" t="s">
        <v>38</v>
      </c>
      <c r="B22" s="205" t="s">
        <v>102</v>
      </c>
      <c r="C22" s="206">
        <f t="shared" si="10"/>
        <v>2622567435</v>
      </c>
      <c r="D22" s="206"/>
      <c r="E22" s="206">
        <v>2622567435</v>
      </c>
      <c r="F22" s="206">
        <f t="shared" si="11"/>
        <v>0</v>
      </c>
      <c r="G22" s="206"/>
      <c r="H22" s="206"/>
      <c r="I22" s="206"/>
      <c r="J22" s="206">
        <f t="shared" si="12"/>
        <v>2622567435</v>
      </c>
      <c r="K22" s="206">
        <v>0</v>
      </c>
      <c r="L22" s="206">
        <v>1741231538</v>
      </c>
      <c r="M22" s="206">
        <f t="shared" si="13"/>
        <v>0</v>
      </c>
      <c r="N22" s="206">
        <v>0</v>
      </c>
      <c r="O22" s="206">
        <v>0</v>
      </c>
      <c r="P22" s="206">
        <v>881335897</v>
      </c>
      <c r="Q22" s="224">
        <f t="shared" si="14"/>
        <v>1</v>
      </c>
      <c r="R22" s="224"/>
      <c r="S22" s="224">
        <f t="shared" si="15"/>
        <v>0.66394156915168134</v>
      </c>
      <c r="T22" s="224"/>
      <c r="U22" s="224"/>
      <c r="V22" s="224"/>
      <c r="W22" s="224"/>
    </row>
    <row r="23" spans="1:23">
      <c r="A23" s="216" t="s">
        <v>39</v>
      </c>
      <c r="B23" s="205" t="s">
        <v>103</v>
      </c>
      <c r="C23" s="206">
        <f t="shared" si="10"/>
        <v>3509070045</v>
      </c>
      <c r="D23" s="206"/>
      <c r="E23" s="206">
        <v>2455123435</v>
      </c>
      <c r="F23" s="206">
        <f t="shared" si="11"/>
        <v>0</v>
      </c>
      <c r="G23" s="206"/>
      <c r="H23" s="206"/>
      <c r="I23" s="206">
        <v>1053946610</v>
      </c>
      <c r="J23" s="206">
        <f t="shared" si="12"/>
        <v>3317302445</v>
      </c>
      <c r="K23" s="206">
        <v>0</v>
      </c>
      <c r="L23" s="206">
        <v>2340991760</v>
      </c>
      <c r="M23" s="206">
        <f t="shared" si="13"/>
        <v>0</v>
      </c>
      <c r="N23" s="206">
        <v>0</v>
      </c>
      <c r="O23" s="206">
        <v>0</v>
      </c>
      <c r="P23" s="206">
        <f>15236685+961074000</f>
        <v>976310685</v>
      </c>
      <c r="Q23" s="224">
        <f t="shared" si="14"/>
        <v>0.94535087714386168</v>
      </c>
      <c r="R23" s="224"/>
      <c r="S23" s="224">
        <f t="shared" si="15"/>
        <v>0.95351285667638952</v>
      </c>
      <c r="T23" s="224"/>
      <c r="U23" s="224"/>
      <c r="V23" s="224"/>
      <c r="W23" s="224">
        <f t="shared" si="18"/>
        <v>0.92633789580669557</v>
      </c>
    </row>
    <row r="24" spans="1:23">
      <c r="A24" s="216" t="s">
        <v>40</v>
      </c>
      <c r="B24" s="205" t="s">
        <v>104</v>
      </c>
      <c r="C24" s="206">
        <f t="shared" si="10"/>
        <v>681948309</v>
      </c>
      <c r="D24" s="206"/>
      <c r="E24" s="206">
        <v>679735000</v>
      </c>
      <c r="F24" s="206">
        <f t="shared" si="11"/>
        <v>0</v>
      </c>
      <c r="G24" s="206"/>
      <c r="H24" s="206"/>
      <c r="I24" s="206">
        <v>2213309</v>
      </c>
      <c r="J24" s="206">
        <f t="shared" si="12"/>
        <v>669428309</v>
      </c>
      <c r="K24" s="206">
        <v>0</v>
      </c>
      <c r="L24" s="206">
        <v>653284782</v>
      </c>
      <c r="M24" s="206">
        <f t="shared" si="13"/>
        <v>0</v>
      </c>
      <c r="N24" s="206">
        <v>0</v>
      </c>
      <c r="O24" s="206">
        <v>0</v>
      </c>
      <c r="P24" s="206">
        <v>16143527</v>
      </c>
      <c r="Q24" s="224">
        <f t="shared" si="14"/>
        <v>0.98164083723829576</v>
      </c>
      <c r="R24" s="224"/>
      <c r="S24" s="224">
        <f t="shared" si="15"/>
        <v>0.96108745614099611</v>
      </c>
      <c r="T24" s="224"/>
      <c r="U24" s="224"/>
      <c r="V24" s="224"/>
      <c r="W24" s="224">
        <f t="shared" si="18"/>
        <v>7.2938423871226297</v>
      </c>
    </row>
    <row r="25" spans="1:23">
      <c r="A25" s="216" t="s">
        <v>41</v>
      </c>
      <c r="B25" s="205" t="s">
        <v>504</v>
      </c>
      <c r="C25" s="206">
        <f t="shared" si="10"/>
        <v>36000000</v>
      </c>
      <c r="D25" s="206"/>
      <c r="E25" s="206">
        <v>36000000</v>
      </c>
      <c r="F25" s="206"/>
      <c r="G25" s="206"/>
      <c r="H25" s="206"/>
      <c r="I25" s="206"/>
      <c r="J25" s="206">
        <f t="shared" si="12"/>
        <v>36000000</v>
      </c>
      <c r="K25" s="206"/>
      <c r="L25" s="206">
        <v>36000000</v>
      </c>
      <c r="M25" s="206"/>
      <c r="N25" s="206"/>
      <c r="O25" s="206"/>
      <c r="P25" s="206"/>
      <c r="Q25" s="224">
        <f t="shared" si="14"/>
        <v>1</v>
      </c>
      <c r="R25" s="224"/>
      <c r="S25" s="224">
        <f t="shared" si="15"/>
        <v>1</v>
      </c>
      <c r="T25" s="224"/>
      <c r="U25" s="224"/>
      <c r="V25" s="224"/>
      <c r="W25" s="224"/>
    </row>
    <row r="26" spans="1:23">
      <c r="A26" s="216" t="s">
        <v>42</v>
      </c>
      <c r="B26" s="205" t="s">
        <v>105</v>
      </c>
      <c r="C26" s="206">
        <f t="shared" si="10"/>
        <v>775490239</v>
      </c>
      <c r="D26" s="206"/>
      <c r="E26" s="206">
        <f>762980465+9000000</f>
        <v>771980465</v>
      </c>
      <c r="F26" s="206">
        <f t="shared" si="11"/>
        <v>0</v>
      </c>
      <c r="G26" s="206"/>
      <c r="H26" s="206"/>
      <c r="I26" s="206">
        <v>3509774</v>
      </c>
      <c r="J26" s="206">
        <f t="shared" si="12"/>
        <v>773570239</v>
      </c>
      <c r="K26" s="206">
        <v>0</v>
      </c>
      <c r="L26" s="206">
        <v>722909651</v>
      </c>
      <c r="M26" s="206">
        <f t="shared" si="13"/>
        <v>0</v>
      </c>
      <c r="N26" s="206">
        <v>0</v>
      </c>
      <c r="O26" s="206">
        <v>0</v>
      </c>
      <c r="P26" s="206">
        <f>2760588+47900000</f>
        <v>50660588</v>
      </c>
      <c r="Q26" s="224">
        <f t="shared" si="14"/>
        <v>0.99752414678684309</v>
      </c>
      <c r="R26" s="224"/>
      <c r="S26" s="224">
        <f t="shared" si="15"/>
        <v>0.93643516095967527</v>
      </c>
      <c r="T26" s="224"/>
      <c r="U26" s="224"/>
      <c r="V26" s="224"/>
      <c r="W26" s="224">
        <f t="shared" si="18"/>
        <v>14.434145332434509</v>
      </c>
    </row>
    <row r="27" spans="1:23">
      <c r="A27" s="216" t="s">
        <v>43</v>
      </c>
      <c r="B27" s="205" t="s">
        <v>106</v>
      </c>
      <c r="C27" s="206">
        <f t="shared" si="10"/>
        <v>8461150000</v>
      </c>
      <c r="D27" s="206"/>
      <c r="E27" s="206">
        <v>8461150000</v>
      </c>
      <c r="F27" s="206">
        <f t="shared" si="11"/>
        <v>0</v>
      </c>
      <c r="G27" s="206"/>
      <c r="H27" s="206"/>
      <c r="I27" s="206"/>
      <c r="J27" s="206">
        <f t="shared" si="12"/>
        <v>8352745000</v>
      </c>
      <c r="K27" s="206">
        <v>0</v>
      </c>
      <c r="L27" s="206">
        <v>8281304217</v>
      </c>
      <c r="M27" s="206">
        <f t="shared" si="13"/>
        <v>0</v>
      </c>
      <c r="N27" s="206">
        <v>0</v>
      </c>
      <c r="O27" s="206">
        <v>0</v>
      </c>
      <c r="P27" s="206">
        <v>71440783</v>
      </c>
      <c r="Q27" s="224">
        <f t="shared" si="14"/>
        <v>0.98718791180867849</v>
      </c>
      <c r="R27" s="224"/>
      <c r="S27" s="224">
        <f t="shared" si="15"/>
        <v>0.97874452255308086</v>
      </c>
      <c r="T27" s="224"/>
      <c r="U27" s="224"/>
      <c r="V27" s="224"/>
      <c r="W27" s="224"/>
    </row>
    <row r="28" spans="1:23" ht="25.5">
      <c r="A28" s="216" t="s">
        <v>81</v>
      </c>
      <c r="B28" s="205" t="s">
        <v>107</v>
      </c>
      <c r="C28" s="206">
        <f t="shared" si="10"/>
        <v>4561703696</v>
      </c>
      <c r="D28" s="206"/>
      <c r="E28" s="206">
        <v>4561703696</v>
      </c>
      <c r="F28" s="206">
        <f t="shared" si="11"/>
        <v>0</v>
      </c>
      <c r="G28" s="206"/>
      <c r="H28" s="206"/>
      <c r="I28" s="206"/>
      <c r="J28" s="206">
        <f t="shared" si="12"/>
        <v>4561413096</v>
      </c>
      <c r="K28" s="206">
        <v>0</v>
      </c>
      <c r="L28" s="206">
        <v>4530176491</v>
      </c>
      <c r="M28" s="206">
        <f t="shared" si="13"/>
        <v>0</v>
      </c>
      <c r="N28" s="206">
        <v>0</v>
      </c>
      <c r="O28" s="206">
        <v>0</v>
      </c>
      <c r="P28" s="206">
        <v>31236605</v>
      </c>
      <c r="Q28" s="224">
        <f t="shared" si="14"/>
        <v>0.99993629573085718</v>
      </c>
      <c r="R28" s="224"/>
      <c r="S28" s="224">
        <f t="shared" si="15"/>
        <v>0.99308872142931048</v>
      </c>
      <c r="T28" s="224"/>
      <c r="U28" s="224"/>
      <c r="V28" s="224"/>
      <c r="W28" s="224"/>
    </row>
    <row r="29" spans="1:23" ht="25.5">
      <c r="A29" s="216" t="s">
        <v>82</v>
      </c>
      <c r="B29" s="205" t="s">
        <v>108</v>
      </c>
      <c r="C29" s="206">
        <f t="shared" si="10"/>
        <v>1019901000</v>
      </c>
      <c r="D29" s="206"/>
      <c r="E29" s="206">
        <v>1019901000</v>
      </c>
      <c r="F29" s="206">
        <f t="shared" si="11"/>
        <v>0</v>
      </c>
      <c r="G29" s="206"/>
      <c r="H29" s="206"/>
      <c r="I29" s="206"/>
      <c r="J29" s="206">
        <f t="shared" si="12"/>
        <v>1019845800</v>
      </c>
      <c r="K29" s="206">
        <v>0</v>
      </c>
      <c r="L29" s="206">
        <v>982454105</v>
      </c>
      <c r="M29" s="206">
        <f t="shared" si="13"/>
        <v>0</v>
      </c>
      <c r="N29" s="206">
        <v>0</v>
      </c>
      <c r="O29" s="206">
        <v>0</v>
      </c>
      <c r="P29" s="206">
        <v>37391695</v>
      </c>
      <c r="Q29" s="224">
        <f t="shared" si="14"/>
        <v>0.99994587709983618</v>
      </c>
      <c r="R29" s="224"/>
      <c r="S29" s="224">
        <f t="shared" si="15"/>
        <v>0.96328379421139898</v>
      </c>
      <c r="T29" s="224"/>
      <c r="U29" s="224"/>
      <c r="V29" s="224"/>
      <c r="W29" s="224"/>
    </row>
    <row r="30" spans="1:23">
      <c r="A30" s="216" t="s">
        <v>83</v>
      </c>
      <c r="B30" s="205" t="s">
        <v>109</v>
      </c>
      <c r="C30" s="206">
        <f t="shared" si="10"/>
        <v>601776000</v>
      </c>
      <c r="D30" s="206"/>
      <c r="E30" s="206">
        <v>601776000</v>
      </c>
      <c r="F30" s="206">
        <f t="shared" si="11"/>
        <v>0</v>
      </c>
      <c r="G30" s="206"/>
      <c r="H30" s="206"/>
      <c r="I30" s="206"/>
      <c r="J30" s="206">
        <f t="shared" si="12"/>
        <v>583555000</v>
      </c>
      <c r="K30" s="206">
        <v>0</v>
      </c>
      <c r="L30" s="206">
        <v>577537570</v>
      </c>
      <c r="M30" s="206">
        <f t="shared" si="13"/>
        <v>0</v>
      </c>
      <c r="N30" s="206">
        <v>0</v>
      </c>
      <c r="O30" s="206">
        <v>0</v>
      </c>
      <c r="P30" s="206">
        <v>6017430</v>
      </c>
      <c r="Q30" s="224">
        <f t="shared" si="14"/>
        <v>0.96972129164340215</v>
      </c>
      <c r="R30" s="224"/>
      <c r="S30" s="224">
        <f t="shared" si="15"/>
        <v>0.95972184002020688</v>
      </c>
      <c r="T30" s="224"/>
      <c r="U30" s="224"/>
      <c r="V30" s="224"/>
      <c r="W30" s="224"/>
    </row>
    <row r="31" spans="1:23">
      <c r="A31" s="216" t="s">
        <v>84</v>
      </c>
      <c r="B31" s="205" t="s">
        <v>110</v>
      </c>
      <c r="C31" s="206">
        <f t="shared" si="10"/>
        <v>821676062</v>
      </c>
      <c r="D31" s="206"/>
      <c r="E31" s="206">
        <f>721663000+100000000</f>
        <v>821663000</v>
      </c>
      <c r="F31" s="206">
        <f t="shared" si="11"/>
        <v>0</v>
      </c>
      <c r="G31" s="206"/>
      <c r="H31" s="206"/>
      <c r="I31" s="206">
        <v>13062</v>
      </c>
      <c r="J31" s="206">
        <f t="shared" si="12"/>
        <v>821676062</v>
      </c>
      <c r="K31" s="206">
        <v>0</v>
      </c>
      <c r="L31" s="206">
        <f>660558940+100000000</f>
        <v>760558940</v>
      </c>
      <c r="M31" s="206">
        <f t="shared" si="13"/>
        <v>0</v>
      </c>
      <c r="N31" s="206">
        <v>0</v>
      </c>
      <c r="O31" s="206">
        <v>0</v>
      </c>
      <c r="P31" s="206">
        <v>61117122</v>
      </c>
      <c r="Q31" s="224">
        <f t="shared" si="14"/>
        <v>1</v>
      </c>
      <c r="R31" s="224"/>
      <c r="S31" s="224">
        <f t="shared" si="15"/>
        <v>0.92563367219894288</v>
      </c>
      <c r="T31" s="224"/>
      <c r="U31" s="224"/>
      <c r="V31" s="224"/>
      <c r="W31" s="224"/>
    </row>
    <row r="32" spans="1:23">
      <c r="A32" s="216" t="s">
        <v>85</v>
      </c>
      <c r="B32" s="205" t="s">
        <v>111</v>
      </c>
      <c r="C32" s="206">
        <f t="shared" ref="C32:C51" si="20">D32+E32+F32+I32</f>
        <v>427105890</v>
      </c>
      <c r="D32" s="206"/>
      <c r="E32" s="206">
        <v>425887000</v>
      </c>
      <c r="F32" s="206">
        <f t="shared" ref="F32:F51" si="21">G32+H32</f>
        <v>0</v>
      </c>
      <c r="G32" s="206"/>
      <c r="H32" s="206"/>
      <c r="I32" s="206">
        <v>1218890</v>
      </c>
      <c r="J32" s="206">
        <f t="shared" si="12"/>
        <v>427105890</v>
      </c>
      <c r="K32" s="206">
        <v>0</v>
      </c>
      <c r="L32" s="206">
        <v>427104340</v>
      </c>
      <c r="M32" s="206">
        <f t="shared" si="13"/>
        <v>0</v>
      </c>
      <c r="N32" s="206">
        <v>0</v>
      </c>
      <c r="O32" s="206">
        <v>0</v>
      </c>
      <c r="P32" s="206">
        <v>1550</v>
      </c>
      <c r="Q32" s="224">
        <f t="shared" si="14"/>
        <v>1</v>
      </c>
      <c r="R32" s="224"/>
      <c r="S32" s="224">
        <f t="shared" si="15"/>
        <v>1.0028583638382951</v>
      </c>
      <c r="T32" s="224"/>
      <c r="U32" s="224"/>
      <c r="V32" s="224"/>
      <c r="W32" s="224">
        <f t="shared" si="18"/>
        <v>1.2716487952153189E-3</v>
      </c>
    </row>
    <row r="33" spans="1:23" ht="25.5">
      <c r="A33" s="216" t="s">
        <v>86</v>
      </c>
      <c r="B33" s="205" t="s">
        <v>362</v>
      </c>
      <c r="C33" s="206">
        <f t="shared" si="20"/>
        <v>235000000</v>
      </c>
      <c r="D33" s="206"/>
      <c r="E33" s="206">
        <v>235000000</v>
      </c>
      <c r="F33" s="206">
        <f t="shared" si="21"/>
        <v>0</v>
      </c>
      <c r="G33" s="206"/>
      <c r="H33" s="206"/>
      <c r="I33" s="206"/>
      <c r="J33" s="206">
        <f t="shared" si="12"/>
        <v>235000000</v>
      </c>
      <c r="K33" s="206"/>
      <c r="L33" s="206">
        <v>235000000</v>
      </c>
      <c r="M33" s="206">
        <f t="shared" si="13"/>
        <v>0</v>
      </c>
      <c r="N33" s="206"/>
      <c r="O33" s="206"/>
      <c r="P33" s="206"/>
      <c r="Q33" s="224">
        <f t="shared" si="14"/>
        <v>1</v>
      </c>
      <c r="R33" s="224"/>
      <c r="S33" s="224">
        <f t="shared" si="15"/>
        <v>1</v>
      </c>
      <c r="T33" s="224"/>
      <c r="U33" s="224"/>
      <c r="V33" s="224"/>
      <c r="W33" s="224"/>
    </row>
    <row r="34" spans="1:23" ht="25.5">
      <c r="A34" s="216" t="s">
        <v>87</v>
      </c>
      <c r="B34" s="205" t="s">
        <v>363</v>
      </c>
      <c r="C34" s="206">
        <f t="shared" si="20"/>
        <v>101000000</v>
      </c>
      <c r="D34" s="206"/>
      <c r="E34" s="206">
        <v>101000000</v>
      </c>
      <c r="F34" s="206">
        <f t="shared" si="21"/>
        <v>0</v>
      </c>
      <c r="G34" s="206"/>
      <c r="H34" s="206"/>
      <c r="I34" s="206"/>
      <c r="J34" s="206">
        <f t="shared" si="12"/>
        <v>101000000</v>
      </c>
      <c r="K34" s="206"/>
      <c r="L34" s="206">
        <v>101000000</v>
      </c>
      <c r="M34" s="206">
        <f t="shared" si="13"/>
        <v>0</v>
      </c>
      <c r="N34" s="206"/>
      <c r="O34" s="206"/>
      <c r="P34" s="206"/>
      <c r="Q34" s="224">
        <f t="shared" si="14"/>
        <v>1</v>
      </c>
      <c r="R34" s="224"/>
      <c r="S34" s="224">
        <f t="shared" si="15"/>
        <v>1</v>
      </c>
      <c r="T34" s="224"/>
      <c r="U34" s="224"/>
      <c r="V34" s="224"/>
      <c r="W34" s="224"/>
    </row>
    <row r="35" spans="1:23">
      <c r="A35" s="216" t="s">
        <v>88</v>
      </c>
      <c r="B35" s="205" t="s">
        <v>117</v>
      </c>
      <c r="C35" s="206">
        <f t="shared" si="20"/>
        <v>143000000</v>
      </c>
      <c r="D35" s="206"/>
      <c r="E35" s="206">
        <v>143000000</v>
      </c>
      <c r="F35" s="206">
        <f t="shared" si="21"/>
        <v>0</v>
      </c>
      <c r="G35" s="206"/>
      <c r="H35" s="206"/>
      <c r="I35" s="206"/>
      <c r="J35" s="206">
        <f t="shared" si="12"/>
        <v>143000000</v>
      </c>
      <c r="K35" s="206"/>
      <c r="L35" s="206">
        <v>143000000</v>
      </c>
      <c r="M35" s="206">
        <f t="shared" si="13"/>
        <v>0</v>
      </c>
      <c r="N35" s="206"/>
      <c r="O35" s="206"/>
      <c r="P35" s="206"/>
      <c r="Q35" s="224">
        <f t="shared" si="14"/>
        <v>1</v>
      </c>
      <c r="R35" s="224"/>
      <c r="S35" s="224">
        <f t="shared" si="15"/>
        <v>1</v>
      </c>
      <c r="T35" s="224"/>
      <c r="U35" s="224"/>
      <c r="V35" s="224"/>
      <c r="W35" s="224"/>
    </row>
    <row r="36" spans="1:23">
      <c r="A36" s="216" t="s">
        <v>89</v>
      </c>
      <c r="B36" s="205" t="s">
        <v>364</v>
      </c>
      <c r="C36" s="206">
        <f t="shared" si="20"/>
        <v>5000000</v>
      </c>
      <c r="D36" s="206"/>
      <c r="E36" s="206">
        <v>5000000</v>
      </c>
      <c r="F36" s="206">
        <f t="shared" si="21"/>
        <v>0</v>
      </c>
      <c r="G36" s="206"/>
      <c r="H36" s="206"/>
      <c r="I36" s="206"/>
      <c r="J36" s="206">
        <f t="shared" si="12"/>
        <v>5000000</v>
      </c>
      <c r="K36" s="206"/>
      <c r="L36" s="206">
        <v>5000000</v>
      </c>
      <c r="M36" s="206">
        <f t="shared" si="13"/>
        <v>0</v>
      </c>
      <c r="N36" s="206"/>
      <c r="O36" s="206"/>
      <c r="P36" s="206"/>
      <c r="Q36" s="224">
        <f t="shared" si="14"/>
        <v>1</v>
      </c>
      <c r="R36" s="224"/>
      <c r="S36" s="224">
        <f t="shared" si="15"/>
        <v>1</v>
      </c>
      <c r="T36" s="224"/>
      <c r="U36" s="224"/>
      <c r="V36" s="224"/>
      <c r="W36" s="224"/>
    </row>
    <row r="37" spans="1:23">
      <c r="A37" s="216" t="s">
        <v>90</v>
      </c>
      <c r="B37" s="205" t="s">
        <v>365</v>
      </c>
      <c r="C37" s="206">
        <f t="shared" si="20"/>
        <v>45000000</v>
      </c>
      <c r="D37" s="206"/>
      <c r="E37" s="206">
        <v>45000000</v>
      </c>
      <c r="F37" s="206">
        <f t="shared" si="21"/>
        <v>0</v>
      </c>
      <c r="G37" s="206"/>
      <c r="H37" s="206"/>
      <c r="I37" s="206"/>
      <c r="J37" s="206">
        <f t="shared" si="12"/>
        <v>45000000</v>
      </c>
      <c r="K37" s="206"/>
      <c r="L37" s="206">
        <v>45000000</v>
      </c>
      <c r="M37" s="206">
        <f t="shared" si="13"/>
        <v>0</v>
      </c>
      <c r="N37" s="206"/>
      <c r="O37" s="206"/>
      <c r="P37" s="206"/>
      <c r="Q37" s="224">
        <f t="shared" si="14"/>
        <v>1</v>
      </c>
      <c r="R37" s="224"/>
      <c r="S37" s="224">
        <f t="shared" si="15"/>
        <v>1</v>
      </c>
      <c r="T37" s="224"/>
      <c r="U37" s="224"/>
      <c r="V37" s="224"/>
      <c r="W37" s="224"/>
    </row>
    <row r="38" spans="1:23">
      <c r="A38" s="216" t="s">
        <v>91</v>
      </c>
      <c r="B38" s="205" t="s">
        <v>116</v>
      </c>
      <c r="C38" s="206">
        <f t="shared" si="20"/>
        <v>136329603</v>
      </c>
      <c r="D38" s="206"/>
      <c r="E38" s="206">
        <v>136329603</v>
      </c>
      <c r="F38" s="206">
        <f t="shared" si="21"/>
        <v>0</v>
      </c>
      <c r="G38" s="206"/>
      <c r="H38" s="206"/>
      <c r="I38" s="206"/>
      <c r="J38" s="206">
        <f t="shared" si="12"/>
        <v>136329603</v>
      </c>
      <c r="K38" s="206"/>
      <c r="L38" s="206">
        <v>136329603</v>
      </c>
      <c r="M38" s="206">
        <f t="shared" si="13"/>
        <v>0</v>
      </c>
      <c r="N38" s="206"/>
      <c r="O38" s="206"/>
      <c r="P38" s="206"/>
      <c r="Q38" s="224">
        <f t="shared" si="14"/>
        <v>1</v>
      </c>
      <c r="R38" s="224"/>
      <c r="S38" s="224">
        <f t="shared" si="15"/>
        <v>1</v>
      </c>
      <c r="T38" s="224"/>
      <c r="U38" s="224"/>
      <c r="V38" s="224"/>
      <c r="W38" s="224"/>
    </row>
    <row r="39" spans="1:23" ht="25.5">
      <c r="A39" s="216" t="s">
        <v>156</v>
      </c>
      <c r="B39" s="205" t="s">
        <v>360</v>
      </c>
      <c r="C39" s="206">
        <f>D39+E39+F39+I39</f>
        <v>1601112221</v>
      </c>
      <c r="D39" s="206"/>
      <c r="E39" s="206">
        <f>1143000000+55618000</f>
        <v>1198618000</v>
      </c>
      <c r="F39" s="206">
        <f>G39+H39</f>
        <v>0</v>
      </c>
      <c r="G39" s="206"/>
      <c r="H39" s="206"/>
      <c r="I39" s="206">
        <v>402494221</v>
      </c>
      <c r="J39" s="206">
        <f>K39+L39+M39+P39</f>
        <v>1570724298</v>
      </c>
      <c r="K39" s="206"/>
      <c r="L39" s="206">
        <v>1570724298</v>
      </c>
      <c r="M39" s="206">
        <f t="shared" si="13"/>
        <v>0</v>
      </c>
      <c r="N39" s="206"/>
      <c r="O39" s="206"/>
      <c r="P39" s="206"/>
      <c r="Q39" s="224">
        <f t="shared" si="14"/>
        <v>0.98102074133128481</v>
      </c>
      <c r="R39" s="224"/>
      <c r="S39" s="224">
        <f t="shared" si="15"/>
        <v>1.3104461121057751</v>
      </c>
      <c r="T39" s="224"/>
      <c r="U39" s="224"/>
      <c r="V39" s="224"/>
      <c r="W39" s="224">
        <f t="shared" si="18"/>
        <v>0</v>
      </c>
    </row>
    <row r="40" spans="1:23" ht="25.5">
      <c r="A40" s="216" t="s">
        <v>157</v>
      </c>
      <c r="B40" s="205" t="s">
        <v>359</v>
      </c>
      <c r="C40" s="206">
        <f>D40+E40+F40+I40</f>
        <v>2121468237</v>
      </c>
      <c r="D40" s="206"/>
      <c r="E40" s="206">
        <v>2121468237</v>
      </c>
      <c r="F40" s="206">
        <f>G40+H40</f>
        <v>0</v>
      </c>
      <c r="G40" s="206"/>
      <c r="H40" s="206"/>
      <c r="I40" s="206"/>
      <c r="J40" s="206">
        <f>K40+L40+M40+P40</f>
        <v>2100334797</v>
      </c>
      <c r="K40" s="206">
        <v>0</v>
      </c>
      <c r="L40" s="206">
        <v>2071915215</v>
      </c>
      <c r="M40" s="206">
        <f t="shared" si="13"/>
        <v>0</v>
      </c>
      <c r="N40" s="206">
        <v>0</v>
      </c>
      <c r="O40" s="206">
        <v>0</v>
      </c>
      <c r="P40" s="206">
        <v>28419582</v>
      </c>
      <c r="Q40" s="224">
        <f t="shared" si="14"/>
        <v>0.99003829535063648</v>
      </c>
      <c r="R40" s="224"/>
      <c r="S40" s="224">
        <f t="shared" si="15"/>
        <v>0.97664210986723343</v>
      </c>
      <c r="T40" s="224"/>
      <c r="U40" s="224"/>
      <c r="V40" s="224"/>
      <c r="W40" s="224"/>
    </row>
    <row r="41" spans="1:23" ht="25.5">
      <c r="A41" s="216" t="s">
        <v>158</v>
      </c>
      <c r="B41" s="205" t="s">
        <v>361</v>
      </c>
      <c r="C41" s="206">
        <f>D41+E41+F41+I41</f>
        <v>961723232</v>
      </c>
      <c r="D41" s="206"/>
      <c r="E41" s="206">
        <v>959675000</v>
      </c>
      <c r="F41" s="206">
        <f>G41+H41</f>
        <v>0</v>
      </c>
      <c r="G41" s="206"/>
      <c r="H41" s="206"/>
      <c r="I41" s="206">
        <v>2048232</v>
      </c>
      <c r="J41" s="206">
        <f>K41+L41+M41+P41</f>
        <v>961723232</v>
      </c>
      <c r="K41" s="206"/>
      <c r="L41" s="206">
        <v>956709168</v>
      </c>
      <c r="M41" s="206">
        <f t="shared" si="13"/>
        <v>0</v>
      </c>
      <c r="N41" s="206"/>
      <c r="O41" s="206"/>
      <c r="P41" s="206">
        <v>5014064</v>
      </c>
      <c r="Q41" s="224">
        <f t="shared" si="14"/>
        <v>1</v>
      </c>
      <c r="R41" s="224"/>
      <c r="S41" s="224">
        <f t="shared" si="15"/>
        <v>0.9969095454190221</v>
      </c>
      <c r="T41" s="224"/>
      <c r="U41" s="224"/>
      <c r="V41" s="224"/>
      <c r="W41" s="224">
        <f t="shared" si="18"/>
        <v>2.4479961254389151</v>
      </c>
    </row>
    <row r="42" spans="1:23">
      <c r="A42" s="216" t="s">
        <v>159</v>
      </c>
      <c r="B42" s="205" t="s">
        <v>366</v>
      </c>
      <c r="C42" s="206">
        <f t="shared" si="20"/>
        <v>4926810200</v>
      </c>
      <c r="D42" s="206"/>
      <c r="E42" s="206">
        <v>4926810200</v>
      </c>
      <c r="F42" s="206">
        <f t="shared" si="21"/>
        <v>0</v>
      </c>
      <c r="G42" s="206"/>
      <c r="H42" s="206"/>
      <c r="I42" s="206"/>
      <c r="J42" s="206">
        <f t="shared" si="12"/>
        <v>4926810200</v>
      </c>
      <c r="K42" s="206"/>
      <c r="L42" s="206">
        <v>4926810200</v>
      </c>
      <c r="M42" s="206">
        <f t="shared" si="13"/>
        <v>0</v>
      </c>
      <c r="N42" s="206"/>
      <c r="O42" s="206"/>
      <c r="P42" s="206"/>
      <c r="Q42" s="224">
        <f t="shared" si="14"/>
        <v>1</v>
      </c>
      <c r="R42" s="224"/>
      <c r="S42" s="224">
        <f t="shared" si="15"/>
        <v>1</v>
      </c>
      <c r="T42" s="224"/>
      <c r="U42" s="224"/>
      <c r="V42" s="224"/>
      <c r="W42" s="224"/>
    </row>
    <row r="43" spans="1:23">
      <c r="A43" s="216" t="s">
        <v>160</v>
      </c>
      <c r="B43" s="205" t="s">
        <v>367</v>
      </c>
      <c r="C43" s="206">
        <f t="shared" si="20"/>
        <v>1847000000</v>
      </c>
      <c r="D43" s="206"/>
      <c r="E43" s="206">
        <v>1847000000</v>
      </c>
      <c r="F43" s="206">
        <f t="shared" si="21"/>
        <v>0</v>
      </c>
      <c r="G43" s="206"/>
      <c r="H43" s="206"/>
      <c r="I43" s="206"/>
      <c r="J43" s="206">
        <f t="shared" si="12"/>
        <v>1833481181</v>
      </c>
      <c r="K43" s="206"/>
      <c r="L43" s="206">
        <v>1833481181</v>
      </c>
      <c r="M43" s="206">
        <f t="shared" si="13"/>
        <v>0</v>
      </c>
      <c r="N43" s="206"/>
      <c r="O43" s="206"/>
      <c r="P43" s="206"/>
      <c r="Q43" s="224">
        <f t="shared" si="14"/>
        <v>0.9926806610720087</v>
      </c>
      <c r="R43" s="224"/>
      <c r="S43" s="224">
        <f t="shared" si="15"/>
        <v>0.9926806610720087</v>
      </c>
      <c r="T43" s="224"/>
      <c r="U43" s="224"/>
      <c r="V43" s="224"/>
      <c r="W43" s="224"/>
    </row>
    <row r="44" spans="1:23">
      <c r="A44" s="216" t="s">
        <v>161</v>
      </c>
      <c r="B44" s="205" t="s">
        <v>368</v>
      </c>
      <c r="C44" s="206">
        <f t="shared" si="20"/>
        <v>88000000</v>
      </c>
      <c r="D44" s="206"/>
      <c r="E44" s="206">
        <v>88000000</v>
      </c>
      <c r="F44" s="206">
        <f t="shared" si="21"/>
        <v>0</v>
      </c>
      <c r="G44" s="206"/>
      <c r="H44" s="206"/>
      <c r="I44" s="206"/>
      <c r="J44" s="206">
        <f t="shared" si="12"/>
        <v>88000000</v>
      </c>
      <c r="K44" s="206"/>
      <c r="L44" s="206">
        <v>88000000</v>
      </c>
      <c r="M44" s="206">
        <f t="shared" si="13"/>
        <v>0</v>
      </c>
      <c r="N44" s="206"/>
      <c r="O44" s="206"/>
      <c r="P44" s="206"/>
      <c r="Q44" s="224">
        <f t="shared" si="14"/>
        <v>1</v>
      </c>
      <c r="R44" s="224"/>
      <c r="S44" s="224">
        <f t="shared" si="15"/>
        <v>1</v>
      </c>
      <c r="T44" s="224"/>
      <c r="U44" s="224"/>
      <c r="V44" s="224"/>
      <c r="W44" s="224"/>
    </row>
    <row r="45" spans="1:23">
      <c r="A45" s="216" t="s">
        <v>162</v>
      </c>
      <c r="B45" s="205" t="s">
        <v>369</v>
      </c>
      <c r="C45" s="206">
        <f t="shared" si="20"/>
        <v>186976000</v>
      </c>
      <c r="D45" s="206"/>
      <c r="E45" s="206">
        <v>186976000</v>
      </c>
      <c r="F45" s="206">
        <f t="shared" si="21"/>
        <v>0</v>
      </c>
      <c r="G45" s="206"/>
      <c r="H45" s="206"/>
      <c r="I45" s="206"/>
      <c r="J45" s="206">
        <f t="shared" si="12"/>
        <v>156465118</v>
      </c>
      <c r="K45" s="206"/>
      <c r="L45" s="206">
        <v>156465118</v>
      </c>
      <c r="M45" s="206">
        <f t="shared" si="13"/>
        <v>0</v>
      </c>
      <c r="N45" s="206"/>
      <c r="O45" s="206"/>
      <c r="P45" s="206"/>
      <c r="Q45" s="224">
        <f t="shared" si="14"/>
        <v>0.83681926022591135</v>
      </c>
      <c r="R45" s="224"/>
      <c r="S45" s="224">
        <f t="shared" si="15"/>
        <v>0.83681926022591135</v>
      </c>
      <c r="T45" s="224"/>
      <c r="U45" s="224"/>
      <c r="V45" s="224"/>
      <c r="W45" s="224"/>
    </row>
    <row r="46" spans="1:23">
      <c r="A46" s="216" t="s">
        <v>374</v>
      </c>
      <c r="B46" s="205" t="s">
        <v>370</v>
      </c>
      <c r="C46" s="206">
        <f t="shared" si="20"/>
        <v>15000000</v>
      </c>
      <c r="D46" s="206"/>
      <c r="E46" s="206">
        <v>15000000</v>
      </c>
      <c r="F46" s="206">
        <f t="shared" si="21"/>
        <v>0</v>
      </c>
      <c r="G46" s="206"/>
      <c r="H46" s="206"/>
      <c r="I46" s="206"/>
      <c r="J46" s="206">
        <f t="shared" si="12"/>
        <v>15000000</v>
      </c>
      <c r="K46" s="206"/>
      <c r="L46" s="206">
        <v>15000000</v>
      </c>
      <c r="M46" s="206">
        <f t="shared" si="13"/>
        <v>0</v>
      </c>
      <c r="N46" s="206"/>
      <c r="O46" s="206"/>
      <c r="P46" s="206"/>
      <c r="Q46" s="224">
        <f t="shared" si="14"/>
        <v>1</v>
      </c>
      <c r="R46" s="224"/>
      <c r="S46" s="224">
        <f t="shared" si="15"/>
        <v>1</v>
      </c>
      <c r="T46" s="224"/>
      <c r="U46" s="224"/>
      <c r="V46" s="224"/>
      <c r="W46" s="224"/>
    </row>
    <row r="47" spans="1:23" ht="25.5">
      <c r="A47" s="216" t="s">
        <v>375</v>
      </c>
      <c r="B47" s="205" t="s">
        <v>371</v>
      </c>
      <c r="C47" s="206">
        <f t="shared" si="20"/>
        <v>6400000</v>
      </c>
      <c r="D47" s="206"/>
      <c r="E47" s="206">
        <v>6400000</v>
      </c>
      <c r="F47" s="206">
        <f t="shared" si="21"/>
        <v>0</v>
      </c>
      <c r="G47" s="206"/>
      <c r="H47" s="206"/>
      <c r="I47" s="206"/>
      <c r="J47" s="206">
        <f t="shared" si="12"/>
        <v>6400000</v>
      </c>
      <c r="K47" s="206"/>
      <c r="L47" s="206">
        <v>6400000</v>
      </c>
      <c r="M47" s="206">
        <f t="shared" si="13"/>
        <v>0</v>
      </c>
      <c r="N47" s="206"/>
      <c r="O47" s="206"/>
      <c r="P47" s="206"/>
      <c r="Q47" s="224">
        <f t="shared" si="14"/>
        <v>1</v>
      </c>
      <c r="R47" s="224"/>
      <c r="S47" s="224">
        <f t="shared" si="15"/>
        <v>1</v>
      </c>
      <c r="T47" s="224"/>
      <c r="U47" s="224"/>
      <c r="V47" s="224"/>
      <c r="W47" s="224"/>
    </row>
    <row r="48" spans="1:23" ht="25.5">
      <c r="A48" s="216" t="s">
        <v>376</v>
      </c>
      <c r="B48" s="205" t="s">
        <v>372</v>
      </c>
      <c r="C48" s="206">
        <f t="shared" si="20"/>
        <v>18600000</v>
      </c>
      <c r="D48" s="206"/>
      <c r="E48" s="206">
        <v>18600000</v>
      </c>
      <c r="F48" s="206">
        <f t="shared" si="21"/>
        <v>0</v>
      </c>
      <c r="G48" s="206"/>
      <c r="H48" s="206"/>
      <c r="I48" s="206"/>
      <c r="J48" s="206">
        <f t="shared" si="12"/>
        <v>18600000</v>
      </c>
      <c r="K48" s="206"/>
      <c r="L48" s="206">
        <v>18600000</v>
      </c>
      <c r="M48" s="206">
        <f t="shared" si="13"/>
        <v>0</v>
      </c>
      <c r="N48" s="206"/>
      <c r="O48" s="206"/>
      <c r="P48" s="206"/>
      <c r="Q48" s="224">
        <f t="shared" si="14"/>
        <v>1</v>
      </c>
      <c r="R48" s="224"/>
      <c r="S48" s="224">
        <f t="shared" si="15"/>
        <v>1</v>
      </c>
      <c r="T48" s="224"/>
      <c r="U48" s="224"/>
      <c r="V48" s="224"/>
      <c r="W48" s="224"/>
    </row>
    <row r="49" spans="1:23" ht="25.5">
      <c r="A49" s="216" t="s">
        <v>377</v>
      </c>
      <c r="B49" s="205" t="s">
        <v>479</v>
      </c>
      <c r="C49" s="206">
        <f t="shared" si="20"/>
        <v>8400000</v>
      </c>
      <c r="D49" s="206"/>
      <c r="E49" s="206">
        <v>8400000</v>
      </c>
      <c r="F49" s="206">
        <f t="shared" si="21"/>
        <v>0</v>
      </c>
      <c r="G49" s="206"/>
      <c r="H49" s="206"/>
      <c r="I49" s="206"/>
      <c r="J49" s="206">
        <f t="shared" si="12"/>
        <v>8400000</v>
      </c>
      <c r="K49" s="206"/>
      <c r="L49" s="206">
        <v>8400000</v>
      </c>
      <c r="M49" s="206">
        <f t="shared" si="13"/>
        <v>0</v>
      </c>
      <c r="N49" s="206"/>
      <c r="O49" s="206"/>
      <c r="P49" s="206"/>
      <c r="Q49" s="224">
        <f t="shared" si="14"/>
        <v>1</v>
      </c>
      <c r="R49" s="224"/>
      <c r="S49" s="224">
        <f t="shared" si="15"/>
        <v>1</v>
      </c>
      <c r="T49" s="224"/>
      <c r="U49" s="224"/>
      <c r="V49" s="224"/>
      <c r="W49" s="224"/>
    </row>
    <row r="50" spans="1:23" ht="25.5">
      <c r="A50" s="216" t="s">
        <v>378</v>
      </c>
      <c r="B50" s="205" t="s">
        <v>373</v>
      </c>
      <c r="C50" s="206">
        <f t="shared" si="20"/>
        <v>700000000</v>
      </c>
      <c r="D50" s="206"/>
      <c r="E50" s="206">
        <v>700000000</v>
      </c>
      <c r="F50" s="206">
        <f t="shared" si="21"/>
        <v>0</v>
      </c>
      <c r="G50" s="206"/>
      <c r="H50" s="206"/>
      <c r="I50" s="206"/>
      <c r="J50" s="206">
        <f t="shared" si="12"/>
        <v>700000000</v>
      </c>
      <c r="K50" s="206"/>
      <c r="L50" s="206">
        <v>700000000</v>
      </c>
      <c r="M50" s="206">
        <f t="shared" si="13"/>
        <v>0</v>
      </c>
      <c r="N50" s="206"/>
      <c r="O50" s="206"/>
      <c r="P50" s="206"/>
      <c r="Q50" s="224">
        <f t="shared" si="14"/>
        <v>1</v>
      </c>
      <c r="R50" s="224"/>
      <c r="S50" s="224">
        <f t="shared" si="15"/>
        <v>1</v>
      </c>
      <c r="T50" s="224"/>
      <c r="U50" s="224"/>
      <c r="V50" s="224"/>
      <c r="W50" s="224"/>
    </row>
    <row r="51" spans="1:23">
      <c r="A51" s="216" t="s">
        <v>379</v>
      </c>
      <c r="B51" s="205" t="s">
        <v>385</v>
      </c>
      <c r="C51" s="206">
        <f t="shared" si="20"/>
        <v>1021531000</v>
      </c>
      <c r="D51" s="206"/>
      <c r="E51" s="206">
        <v>1021531000</v>
      </c>
      <c r="F51" s="206">
        <f t="shared" si="21"/>
        <v>0</v>
      </c>
      <c r="G51" s="206"/>
      <c r="H51" s="206"/>
      <c r="I51" s="206"/>
      <c r="J51" s="206">
        <f t="shared" si="12"/>
        <v>869931401</v>
      </c>
      <c r="K51" s="206"/>
      <c r="L51" s="206">
        <v>850701347</v>
      </c>
      <c r="M51" s="206">
        <f t="shared" si="13"/>
        <v>0</v>
      </c>
      <c r="N51" s="206"/>
      <c r="O51" s="206"/>
      <c r="P51" s="206">
        <v>19230054</v>
      </c>
      <c r="Q51" s="224">
        <f t="shared" si="14"/>
        <v>0.85159569411011515</v>
      </c>
      <c r="R51" s="224"/>
      <c r="S51" s="224">
        <f t="shared" si="15"/>
        <v>0.8327709555559254</v>
      </c>
      <c r="T51" s="224"/>
      <c r="U51" s="224"/>
      <c r="V51" s="224"/>
      <c r="W51" s="224"/>
    </row>
    <row r="52" spans="1:23" ht="25.5">
      <c r="A52" s="216" t="s">
        <v>380</v>
      </c>
      <c r="B52" s="205" t="s">
        <v>386</v>
      </c>
      <c r="C52" s="206">
        <f t="shared" ref="C52:C115" si="22">D52+E52+F52+I52</f>
        <v>1775658345</v>
      </c>
      <c r="D52" s="206"/>
      <c r="E52" s="206">
        <f>1671353000+9000000</f>
        <v>1680353000</v>
      </c>
      <c r="F52" s="206">
        <f t="shared" ref="F52:F115" si="23">G52+H52</f>
        <v>0</v>
      </c>
      <c r="G52" s="206"/>
      <c r="H52" s="206"/>
      <c r="I52" s="206">
        <v>95305345</v>
      </c>
      <c r="J52" s="206">
        <f t="shared" si="12"/>
        <v>1766658345</v>
      </c>
      <c r="K52" s="206"/>
      <c r="L52" s="206">
        <v>1712339018</v>
      </c>
      <c r="M52" s="206">
        <f t="shared" si="13"/>
        <v>0</v>
      </c>
      <c r="N52" s="206"/>
      <c r="O52" s="206"/>
      <c r="P52" s="206">
        <v>54319327</v>
      </c>
      <c r="Q52" s="224">
        <f t="shared" si="14"/>
        <v>0.99493145738010769</v>
      </c>
      <c r="R52" s="224"/>
      <c r="S52" s="224">
        <f t="shared" si="15"/>
        <v>1.019035296750147</v>
      </c>
      <c r="T52" s="224"/>
      <c r="U52" s="224"/>
      <c r="V52" s="224"/>
      <c r="W52" s="224">
        <f t="shared" si="18"/>
        <v>0.5699504786431443</v>
      </c>
    </row>
    <row r="53" spans="1:23" ht="25.5">
      <c r="A53" s="216" t="s">
        <v>381</v>
      </c>
      <c r="B53" s="205" t="s">
        <v>387</v>
      </c>
      <c r="C53" s="206">
        <f t="shared" si="22"/>
        <v>2282083667</v>
      </c>
      <c r="D53" s="206"/>
      <c r="E53" s="206">
        <f>2043312000+57403000</f>
        <v>2100715000</v>
      </c>
      <c r="F53" s="206">
        <f t="shared" si="23"/>
        <v>0</v>
      </c>
      <c r="G53" s="206"/>
      <c r="H53" s="206"/>
      <c r="I53" s="206">
        <v>181368667</v>
      </c>
      <c r="J53" s="206">
        <f t="shared" si="12"/>
        <v>2235019167</v>
      </c>
      <c r="K53" s="206"/>
      <c r="L53" s="206">
        <v>1914342909</v>
      </c>
      <c r="M53" s="206">
        <f t="shared" si="13"/>
        <v>0</v>
      </c>
      <c r="N53" s="206"/>
      <c r="O53" s="206"/>
      <c r="P53" s="206">
        <v>320676258</v>
      </c>
      <c r="Q53" s="224">
        <f t="shared" si="14"/>
        <v>0.97937652300808475</v>
      </c>
      <c r="R53" s="224"/>
      <c r="S53" s="224">
        <f t="shared" si="15"/>
        <v>0.91128159174376344</v>
      </c>
      <c r="T53" s="224"/>
      <c r="U53" s="224"/>
      <c r="V53" s="224"/>
      <c r="W53" s="224">
        <f t="shared" si="18"/>
        <v>1.7680907253952525</v>
      </c>
    </row>
    <row r="54" spans="1:23">
      <c r="A54" s="216" t="s">
        <v>382</v>
      </c>
      <c r="B54" s="205" t="s">
        <v>388</v>
      </c>
      <c r="C54" s="206">
        <f t="shared" si="22"/>
        <v>1405774366</v>
      </c>
      <c r="D54" s="206"/>
      <c r="E54" s="206">
        <f>1320790000+20932000</f>
        <v>1341722000</v>
      </c>
      <c r="F54" s="206">
        <f t="shared" si="23"/>
        <v>0</v>
      </c>
      <c r="G54" s="206"/>
      <c r="H54" s="206"/>
      <c r="I54" s="206">
        <v>64052366</v>
      </c>
      <c r="J54" s="206">
        <f t="shared" si="12"/>
        <v>1365234866</v>
      </c>
      <c r="K54" s="206"/>
      <c r="L54" s="206">
        <v>1292058421</v>
      </c>
      <c r="M54" s="206">
        <f t="shared" si="13"/>
        <v>0</v>
      </c>
      <c r="N54" s="206"/>
      <c r="O54" s="206"/>
      <c r="P54" s="206">
        <v>73176445</v>
      </c>
      <c r="Q54" s="224">
        <f t="shared" si="14"/>
        <v>0.97116215732731603</v>
      </c>
      <c r="R54" s="224"/>
      <c r="S54" s="224">
        <f t="shared" si="15"/>
        <v>0.96298519439943597</v>
      </c>
      <c r="T54" s="224"/>
      <c r="U54" s="224"/>
      <c r="V54" s="224"/>
      <c r="W54" s="224">
        <f t="shared" si="18"/>
        <v>1.1424471814202772</v>
      </c>
    </row>
    <row r="55" spans="1:23">
      <c r="A55" s="216" t="s">
        <v>383</v>
      </c>
      <c r="B55" s="205" t="s">
        <v>480</v>
      </c>
      <c r="C55" s="206">
        <f t="shared" si="22"/>
        <v>1413955211</v>
      </c>
      <c r="D55" s="206"/>
      <c r="E55" s="206">
        <f>1185102000+157308394</f>
        <v>1342410394</v>
      </c>
      <c r="F55" s="206">
        <f t="shared" si="23"/>
        <v>0</v>
      </c>
      <c r="G55" s="206"/>
      <c r="H55" s="206"/>
      <c r="I55" s="206">
        <v>71544817</v>
      </c>
      <c r="J55" s="206">
        <f t="shared" si="12"/>
        <v>1405384155</v>
      </c>
      <c r="K55" s="206"/>
      <c r="L55" s="206">
        <v>1212691397</v>
      </c>
      <c r="M55" s="206">
        <f t="shared" si="13"/>
        <v>0</v>
      </c>
      <c r="N55" s="206"/>
      <c r="O55" s="206"/>
      <c r="P55" s="206">
        <v>192692758</v>
      </c>
      <c r="Q55" s="224">
        <f t="shared" si="14"/>
        <v>0.9939382408061298</v>
      </c>
      <c r="R55" s="224"/>
      <c r="S55" s="224">
        <f t="shared" si="15"/>
        <v>0.90336859906643419</v>
      </c>
      <c r="T55" s="224"/>
      <c r="U55" s="224"/>
      <c r="V55" s="224"/>
      <c r="W55" s="224">
        <f t="shared" si="18"/>
        <v>2.6933154081587767</v>
      </c>
    </row>
    <row r="56" spans="1:23" ht="25.5">
      <c r="A56" s="216" t="s">
        <v>384</v>
      </c>
      <c r="B56" s="205" t="s">
        <v>389</v>
      </c>
      <c r="C56" s="206">
        <f t="shared" si="22"/>
        <v>2684722550</v>
      </c>
      <c r="D56" s="206"/>
      <c r="E56" s="206">
        <f>2517972000+22103000</f>
        <v>2540075000</v>
      </c>
      <c r="F56" s="206">
        <f t="shared" si="23"/>
        <v>0</v>
      </c>
      <c r="G56" s="206"/>
      <c r="H56" s="206"/>
      <c r="I56" s="206">
        <v>144647550</v>
      </c>
      <c r="J56" s="206">
        <f t="shared" si="12"/>
        <v>2636052550</v>
      </c>
      <c r="K56" s="206"/>
      <c r="L56" s="206">
        <v>2404742762</v>
      </c>
      <c r="M56" s="206">
        <f t="shared" si="13"/>
        <v>0</v>
      </c>
      <c r="N56" s="206"/>
      <c r="O56" s="206"/>
      <c r="P56" s="206">
        <v>231309788</v>
      </c>
      <c r="Q56" s="224">
        <f t="shared" si="14"/>
        <v>0.98187149729866874</v>
      </c>
      <c r="R56" s="224"/>
      <c r="S56" s="224">
        <f t="shared" si="15"/>
        <v>0.94672116453254329</v>
      </c>
      <c r="T56" s="224"/>
      <c r="U56" s="224"/>
      <c r="V56" s="224"/>
      <c r="W56" s="224">
        <f t="shared" si="18"/>
        <v>1.5991268984507514</v>
      </c>
    </row>
    <row r="57" spans="1:23">
      <c r="A57" s="216" t="s">
        <v>434</v>
      </c>
      <c r="B57" s="205" t="s">
        <v>390</v>
      </c>
      <c r="C57" s="206">
        <f t="shared" si="22"/>
        <v>1084140585</v>
      </c>
      <c r="D57" s="206"/>
      <c r="E57" s="206">
        <f>968376000+37096000</f>
        <v>1005472000</v>
      </c>
      <c r="F57" s="206">
        <f t="shared" si="23"/>
        <v>0</v>
      </c>
      <c r="G57" s="206"/>
      <c r="H57" s="206"/>
      <c r="I57" s="206">
        <v>78668585</v>
      </c>
      <c r="J57" s="206">
        <f t="shared" si="12"/>
        <v>1016466029</v>
      </c>
      <c r="K57" s="206"/>
      <c r="L57" s="206">
        <v>980924199</v>
      </c>
      <c r="M57" s="206">
        <f t="shared" si="13"/>
        <v>0</v>
      </c>
      <c r="N57" s="206"/>
      <c r="O57" s="206"/>
      <c r="P57" s="206">
        <v>35541830</v>
      </c>
      <c r="Q57" s="224">
        <f t="shared" si="14"/>
        <v>0.93757769339481001</v>
      </c>
      <c r="R57" s="224"/>
      <c r="S57" s="224">
        <f t="shared" si="15"/>
        <v>0.97558579353776131</v>
      </c>
      <c r="T57" s="224"/>
      <c r="U57" s="224"/>
      <c r="V57" s="224"/>
      <c r="W57" s="224">
        <f t="shared" si="18"/>
        <v>0.45179190651516105</v>
      </c>
    </row>
    <row r="58" spans="1:23" ht="25.5">
      <c r="A58" s="216" t="s">
        <v>435</v>
      </c>
      <c r="B58" s="205" t="s">
        <v>391</v>
      </c>
      <c r="C58" s="206">
        <f t="shared" si="22"/>
        <v>4237906145</v>
      </c>
      <c r="D58" s="206"/>
      <c r="E58" s="206">
        <f>4169681000+55340000</f>
        <v>4225021000</v>
      </c>
      <c r="F58" s="206">
        <f t="shared" si="23"/>
        <v>0</v>
      </c>
      <c r="G58" s="206"/>
      <c r="H58" s="206"/>
      <c r="I58" s="206">
        <v>12885145</v>
      </c>
      <c r="J58" s="206">
        <f t="shared" ref="J58:J114" si="24">K58+L58+M58+P58</f>
        <v>4159881589</v>
      </c>
      <c r="K58" s="206"/>
      <c r="L58" s="206">
        <v>4159881589</v>
      </c>
      <c r="M58" s="206">
        <f t="shared" si="13"/>
        <v>0</v>
      </c>
      <c r="N58" s="206"/>
      <c r="O58" s="206"/>
      <c r="P58" s="206"/>
      <c r="Q58" s="224">
        <f t="shared" si="14"/>
        <v>0.98158889004843686</v>
      </c>
      <c r="R58" s="224"/>
      <c r="S58" s="224">
        <f t="shared" si="15"/>
        <v>0.98458246456053122</v>
      </c>
      <c r="T58" s="224"/>
      <c r="U58" s="224"/>
      <c r="V58" s="224"/>
      <c r="W58" s="224">
        <f t="shared" si="18"/>
        <v>0</v>
      </c>
    </row>
    <row r="59" spans="1:23" ht="25.5">
      <c r="A59" s="216" t="s">
        <v>436</v>
      </c>
      <c r="B59" s="205" t="s">
        <v>392</v>
      </c>
      <c r="C59" s="206">
        <f t="shared" si="22"/>
        <v>4567919583</v>
      </c>
      <c r="D59" s="206"/>
      <c r="E59" s="206">
        <f>4392965000+141116000</f>
        <v>4534081000</v>
      </c>
      <c r="F59" s="206">
        <f t="shared" si="23"/>
        <v>0</v>
      </c>
      <c r="G59" s="206"/>
      <c r="H59" s="206"/>
      <c r="I59" s="206">
        <v>33838583</v>
      </c>
      <c r="J59" s="206">
        <f t="shared" si="24"/>
        <v>4484069083</v>
      </c>
      <c r="K59" s="206"/>
      <c r="L59" s="206">
        <v>4459628774</v>
      </c>
      <c r="M59" s="206">
        <f t="shared" si="13"/>
        <v>0</v>
      </c>
      <c r="N59" s="206"/>
      <c r="O59" s="206"/>
      <c r="P59" s="206">
        <v>24440309</v>
      </c>
      <c r="Q59" s="224">
        <f t="shared" si="14"/>
        <v>0.98164361292347213</v>
      </c>
      <c r="R59" s="224"/>
      <c r="S59" s="224">
        <f t="shared" si="15"/>
        <v>0.98357942304074408</v>
      </c>
      <c r="T59" s="224"/>
      <c r="U59" s="224"/>
      <c r="V59" s="224"/>
      <c r="W59" s="224">
        <f t="shared" si="18"/>
        <v>0.72226159706510173</v>
      </c>
    </row>
    <row r="60" spans="1:23" ht="25.5">
      <c r="A60" s="216" t="s">
        <v>437</v>
      </c>
      <c r="B60" s="205" t="s">
        <v>393</v>
      </c>
      <c r="C60" s="206">
        <f t="shared" si="22"/>
        <v>2069074465</v>
      </c>
      <c r="D60" s="206"/>
      <c r="E60" s="206">
        <f>1811884000+32242000</f>
        <v>1844126000</v>
      </c>
      <c r="F60" s="206">
        <f t="shared" si="23"/>
        <v>0</v>
      </c>
      <c r="G60" s="206"/>
      <c r="H60" s="206"/>
      <c r="I60" s="206">
        <v>224948465</v>
      </c>
      <c r="J60" s="206">
        <f t="shared" si="24"/>
        <v>2040380465</v>
      </c>
      <c r="K60" s="206"/>
      <c r="L60" s="206">
        <v>1689759451</v>
      </c>
      <c r="M60" s="206">
        <f t="shared" si="13"/>
        <v>0</v>
      </c>
      <c r="N60" s="206"/>
      <c r="O60" s="206"/>
      <c r="P60" s="206">
        <v>350621014</v>
      </c>
      <c r="Q60" s="224">
        <f t="shared" si="14"/>
        <v>0.98613196359754984</v>
      </c>
      <c r="R60" s="224"/>
      <c r="S60" s="224">
        <f t="shared" si="15"/>
        <v>0.91629284061935035</v>
      </c>
      <c r="T60" s="224"/>
      <c r="U60" s="224"/>
      <c r="V60" s="224"/>
      <c r="W60" s="224">
        <f t="shared" si="18"/>
        <v>1.5586726230828025</v>
      </c>
    </row>
    <row r="61" spans="1:23">
      <c r="A61" s="216" t="s">
        <v>438</v>
      </c>
      <c r="B61" s="205" t="s">
        <v>394</v>
      </c>
      <c r="C61" s="206">
        <f t="shared" si="22"/>
        <v>4274291490</v>
      </c>
      <c r="D61" s="206"/>
      <c r="E61" s="206">
        <f>4008092000+183606439</f>
        <v>4191698439</v>
      </c>
      <c r="F61" s="206">
        <f t="shared" si="23"/>
        <v>0</v>
      </c>
      <c r="G61" s="206"/>
      <c r="H61" s="206"/>
      <c r="I61" s="206">
        <v>82593051</v>
      </c>
      <c r="J61" s="206">
        <f t="shared" si="24"/>
        <v>4194053490</v>
      </c>
      <c r="K61" s="206"/>
      <c r="L61" s="206">
        <v>3830179649</v>
      </c>
      <c r="M61" s="206">
        <f t="shared" si="13"/>
        <v>0</v>
      </c>
      <c r="N61" s="206"/>
      <c r="O61" s="206"/>
      <c r="P61" s="206">
        <v>363873841</v>
      </c>
      <c r="Q61" s="224">
        <f t="shared" si="14"/>
        <v>0.98122776600806882</v>
      </c>
      <c r="R61" s="224"/>
      <c r="S61" s="224">
        <f t="shared" si="15"/>
        <v>0.9137536263018371</v>
      </c>
      <c r="T61" s="224"/>
      <c r="U61" s="224"/>
      <c r="V61" s="224"/>
      <c r="W61" s="224">
        <f t="shared" si="18"/>
        <v>4.4056229500469719</v>
      </c>
    </row>
    <row r="62" spans="1:23" ht="25.5">
      <c r="A62" s="216" t="s">
        <v>439</v>
      </c>
      <c r="B62" s="205" t="s">
        <v>395</v>
      </c>
      <c r="C62" s="206">
        <f t="shared" si="22"/>
        <v>2215639766</v>
      </c>
      <c r="D62" s="206"/>
      <c r="E62" s="206">
        <f>2144378000+70608172</f>
        <v>2214986172</v>
      </c>
      <c r="F62" s="206">
        <f t="shared" si="23"/>
        <v>0</v>
      </c>
      <c r="G62" s="206"/>
      <c r="H62" s="206"/>
      <c r="I62" s="206">
        <v>653594</v>
      </c>
      <c r="J62" s="206">
        <f t="shared" si="24"/>
        <v>2212565766</v>
      </c>
      <c r="K62" s="206"/>
      <c r="L62" s="206">
        <v>2176562947</v>
      </c>
      <c r="M62" s="206">
        <f t="shared" si="13"/>
        <v>0</v>
      </c>
      <c r="N62" s="206"/>
      <c r="O62" s="206"/>
      <c r="P62" s="206">
        <v>36002819</v>
      </c>
      <c r="Q62" s="224">
        <f t="shared" si="14"/>
        <v>0.99861259034651217</v>
      </c>
      <c r="R62" s="224"/>
      <c r="S62" s="224">
        <f t="shared" si="15"/>
        <v>0.98265306326255475</v>
      </c>
      <c r="T62" s="224"/>
      <c r="U62" s="224"/>
      <c r="V62" s="224"/>
      <c r="W62" s="224">
        <f t="shared" si="18"/>
        <v>55.084378069566121</v>
      </c>
    </row>
    <row r="63" spans="1:23">
      <c r="A63" s="216" t="s">
        <v>440</v>
      </c>
      <c r="B63" s="205" t="s">
        <v>396</v>
      </c>
      <c r="C63" s="206">
        <f t="shared" si="22"/>
        <v>4939287810</v>
      </c>
      <c r="D63" s="206"/>
      <c r="E63" s="206">
        <f>4696557000+59762000</f>
        <v>4756319000</v>
      </c>
      <c r="F63" s="206">
        <f t="shared" si="23"/>
        <v>0</v>
      </c>
      <c r="G63" s="206"/>
      <c r="H63" s="206"/>
      <c r="I63" s="206">
        <v>182968810</v>
      </c>
      <c r="J63" s="206">
        <f t="shared" si="24"/>
        <v>4800969587</v>
      </c>
      <c r="K63" s="206"/>
      <c r="L63" s="206">
        <v>4717589921</v>
      </c>
      <c r="M63" s="206">
        <f t="shared" si="13"/>
        <v>0</v>
      </c>
      <c r="N63" s="206"/>
      <c r="O63" s="206"/>
      <c r="P63" s="206">
        <v>83379666</v>
      </c>
      <c r="Q63" s="224">
        <f t="shared" si="14"/>
        <v>0.97199632248196532</v>
      </c>
      <c r="R63" s="224"/>
      <c r="S63" s="224">
        <f t="shared" si="15"/>
        <v>0.9918573419907285</v>
      </c>
      <c r="T63" s="224"/>
      <c r="U63" s="224"/>
      <c r="V63" s="224"/>
      <c r="W63" s="224">
        <f t="shared" si="18"/>
        <v>0.45570425910295859</v>
      </c>
    </row>
    <row r="64" spans="1:23" ht="25.5">
      <c r="A64" s="216" t="s">
        <v>441</v>
      </c>
      <c r="B64" s="205" t="s">
        <v>397</v>
      </c>
      <c r="C64" s="206">
        <f t="shared" si="22"/>
        <v>4341619132</v>
      </c>
      <c r="D64" s="206"/>
      <c r="E64" s="206">
        <f>4016443000+255511630</f>
        <v>4271954630</v>
      </c>
      <c r="F64" s="206">
        <f t="shared" si="23"/>
        <v>0</v>
      </c>
      <c r="G64" s="206"/>
      <c r="H64" s="206"/>
      <c r="I64" s="206">
        <v>69664502</v>
      </c>
      <c r="J64" s="206">
        <f t="shared" si="24"/>
        <v>4317714632</v>
      </c>
      <c r="K64" s="206"/>
      <c r="L64" s="206">
        <v>3871849314</v>
      </c>
      <c r="M64" s="206">
        <f t="shared" si="13"/>
        <v>0</v>
      </c>
      <c r="N64" s="206"/>
      <c r="O64" s="206"/>
      <c r="P64" s="206">
        <v>445865318</v>
      </c>
      <c r="Q64" s="224">
        <f t="shared" si="14"/>
        <v>0.99449410478597455</v>
      </c>
      <c r="R64" s="224"/>
      <c r="S64" s="224">
        <f t="shared" si="15"/>
        <v>0.90634139389256574</v>
      </c>
      <c r="T64" s="224"/>
      <c r="U64" s="224"/>
      <c r="V64" s="224"/>
      <c r="W64" s="224">
        <f t="shared" si="18"/>
        <v>6.4001795060560402</v>
      </c>
    </row>
    <row r="65" spans="1:23">
      <c r="A65" s="216" t="s">
        <v>442</v>
      </c>
      <c r="B65" s="205" t="s">
        <v>398</v>
      </c>
      <c r="C65" s="206">
        <f t="shared" si="22"/>
        <v>6702047792</v>
      </c>
      <c r="D65" s="206"/>
      <c r="E65" s="206">
        <f>6581563000+119544000</f>
        <v>6701107000</v>
      </c>
      <c r="F65" s="206">
        <f t="shared" si="23"/>
        <v>0</v>
      </c>
      <c r="G65" s="206"/>
      <c r="H65" s="206"/>
      <c r="I65" s="206">
        <v>940792</v>
      </c>
      <c r="J65" s="206">
        <f t="shared" si="24"/>
        <v>6638156236</v>
      </c>
      <c r="K65" s="206"/>
      <c r="L65" s="206">
        <v>6603661870</v>
      </c>
      <c r="M65" s="206">
        <f t="shared" si="13"/>
        <v>0</v>
      </c>
      <c r="N65" s="206"/>
      <c r="O65" s="206"/>
      <c r="P65" s="206">
        <v>34494366</v>
      </c>
      <c r="Q65" s="224">
        <f t="shared" si="14"/>
        <v>0.99046686058009537</v>
      </c>
      <c r="R65" s="224"/>
      <c r="S65" s="224">
        <f t="shared" si="15"/>
        <v>0.98545835337355459</v>
      </c>
      <c r="T65" s="224"/>
      <c r="U65" s="224"/>
      <c r="V65" s="224"/>
      <c r="W65" s="224">
        <f t="shared" si="18"/>
        <v>36.665241626204306</v>
      </c>
    </row>
    <row r="66" spans="1:23">
      <c r="A66" s="216" t="s">
        <v>443</v>
      </c>
      <c r="B66" s="205" t="s">
        <v>399</v>
      </c>
      <c r="C66" s="206">
        <f t="shared" si="22"/>
        <v>1923529362</v>
      </c>
      <c r="D66" s="206"/>
      <c r="E66" s="206">
        <f>1910521921+9000000</f>
        <v>1919521921</v>
      </c>
      <c r="F66" s="206">
        <f t="shared" si="23"/>
        <v>0</v>
      </c>
      <c r="G66" s="206"/>
      <c r="H66" s="206"/>
      <c r="I66" s="206">
        <v>4007441</v>
      </c>
      <c r="J66" s="206">
        <f t="shared" si="24"/>
        <v>1923529362</v>
      </c>
      <c r="K66" s="206"/>
      <c r="L66" s="206">
        <v>1923529362</v>
      </c>
      <c r="M66" s="206">
        <f t="shared" si="13"/>
        <v>0</v>
      </c>
      <c r="N66" s="206"/>
      <c r="O66" s="206"/>
      <c r="P66" s="206"/>
      <c r="Q66" s="224">
        <f t="shared" si="14"/>
        <v>1</v>
      </c>
      <c r="R66" s="224"/>
      <c r="S66" s="224">
        <f t="shared" si="15"/>
        <v>1.0020877286975249</v>
      </c>
      <c r="T66" s="224"/>
      <c r="U66" s="224"/>
      <c r="V66" s="224"/>
      <c r="W66" s="224">
        <f t="shared" si="18"/>
        <v>0</v>
      </c>
    </row>
    <row r="67" spans="1:23" ht="25.5">
      <c r="A67" s="216" t="s">
        <v>444</v>
      </c>
      <c r="B67" s="205" t="s">
        <v>400</v>
      </c>
      <c r="C67" s="206">
        <f t="shared" si="22"/>
        <v>4984795286</v>
      </c>
      <c r="D67" s="206"/>
      <c r="E67" s="206">
        <f>4171290000+271032000</f>
        <v>4442322000</v>
      </c>
      <c r="F67" s="206">
        <f t="shared" si="23"/>
        <v>0</v>
      </c>
      <c r="G67" s="206"/>
      <c r="H67" s="206"/>
      <c r="I67" s="206">
        <v>542473286</v>
      </c>
      <c r="J67" s="206">
        <f t="shared" si="24"/>
        <v>4961344891</v>
      </c>
      <c r="K67" s="206"/>
      <c r="L67" s="206">
        <v>4023413208</v>
      </c>
      <c r="M67" s="206">
        <f t="shared" si="13"/>
        <v>0</v>
      </c>
      <c r="N67" s="206"/>
      <c r="O67" s="206"/>
      <c r="P67" s="206">
        <v>937931683</v>
      </c>
      <c r="Q67" s="224">
        <f t="shared" si="14"/>
        <v>0.99529561523502053</v>
      </c>
      <c r="R67" s="224"/>
      <c r="S67" s="224">
        <f t="shared" si="15"/>
        <v>0.90570048906855471</v>
      </c>
      <c r="T67" s="224"/>
      <c r="U67" s="224"/>
      <c r="V67" s="224"/>
      <c r="W67" s="224">
        <f t="shared" si="18"/>
        <v>1.7289914677936786</v>
      </c>
    </row>
    <row r="68" spans="1:23" ht="25.5">
      <c r="A68" s="216" t="s">
        <v>445</v>
      </c>
      <c r="B68" s="205" t="s">
        <v>401</v>
      </c>
      <c r="C68" s="206">
        <f t="shared" si="22"/>
        <v>5219202989</v>
      </c>
      <c r="D68" s="206"/>
      <c r="E68" s="206">
        <f>4576275000+251160000</f>
        <v>4827435000</v>
      </c>
      <c r="F68" s="206">
        <f t="shared" si="23"/>
        <v>0</v>
      </c>
      <c r="G68" s="206"/>
      <c r="H68" s="206"/>
      <c r="I68" s="206">
        <v>391767989</v>
      </c>
      <c r="J68" s="206">
        <f t="shared" si="24"/>
        <v>5166985653</v>
      </c>
      <c r="K68" s="206"/>
      <c r="L68" s="206">
        <v>4216600817</v>
      </c>
      <c r="M68" s="206">
        <f t="shared" si="13"/>
        <v>0</v>
      </c>
      <c r="N68" s="206"/>
      <c r="O68" s="206"/>
      <c r="P68" s="206">
        <v>950384836</v>
      </c>
      <c r="Q68" s="224">
        <f t="shared" si="14"/>
        <v>0.98999515134589455</v>
      </c>
      <c r="R68" s="224"/>
      <c r="S68" s="224">
        <f t="shared" si="15"/>
        <v>0.87346609887031101</v>
      </c>
      <c r="T68" s="224"/>
      <c r="U68" s="224"/>
      <c r="V68" s="224"/>
      <c r="W68" s="224">
        <f t="shared" si="18"/>
        <v>2.4258869093053952</v>
      </c>
    </row>
    <row r="69" spans="1:23">
      <c r="A69" s="216" t="s">
        <v>446</v>
      </c>
      <c r="B69" s="205" t="s">
        <v>402</v>
      </c>
      <c r="C69" s="206">
        <f t="shared" si="22"/>
        <v>1681607479</v>
      </c>
      <c r="D69" s="206"/>
      <c r="E69" s="206">
        <f>1497947895+39925000</f>
        <v>1537872895</v>
      </c>
      <c r="F69" s="206">
        <f t="shared" si="23"/>
        <v>0</v>
      </c>
      <c r="G69" s="206"/>
      <c r="H69" s="206"/>
      <c r="I69" s="206">
        <v>143734584</v>
      </c>
      <c r="J69" s="206">
        <f t="shared" si="24"/>
        <v>1681607479</v>
      </c>
      <c r="K69" s="206"/>
      <c r="L69" s="206">
        <v>1681607479</v>
      </c>
      <c r="M69" s="206">
        <f t="shared" si="13"/>
        <v>0</v>
      </c>
      <c r="N69" s="206"/>
      <c r="O69" s="206"/>
      <c r="P69" s="206"/>
      <c r="Q69" s="224">
        <f t="shared" si="14"/>
        <v>1</v>
      </c>
      <c r="R69" s="224"/>
      <c r="S69" s="224">
        <f t="shared" si="15"/>
        <v>1.0934632403414588</v>
      </c>
      <c r="T69" s="224"/>
      <c r="U69" s="224"/>
      <c r="V69" s="224"/>
      <c r="W69" s="224">
        <f t="shared" si="18"/>
        <v>0</v>
      </c>
    </row>
    <row r="70" spans="1:23">
      <c r="A70" s="216" t="s">
        <v>447</v>
      </c>
      <c r="B70" s="205" t="s">
        <v>481</v>
      </c>
      <c r="C70" s="206">
        <f t="shared" si="22"/>
        <v>2978928031</v>
      </c>
      <c r="D70" s="206"/>
      <c r="E70" s="206">
        <f>2671907000+91208000</f>
        <v>2763115000</v>
      </c>
      <c r="F70" s="206">
        <f t="shared" si="23"/>
        <v>0</v>
      </c>
      <c r="G70" s="206"/>
      <c r="H70" s="206"/>
      <c r="I70" s="206">
        <v>215813031</v>
      </c>
      <c r="J70" s="206">
        <f t="shared" si="24"/>
        <v>2961198031</v>
      </c>
      <c r="K70" s="206"/>
      <c r="L70" s="206">
        <v>2761569462</v>
      </c>
      <c r="M70" s="206">
        <f t="shared" si="13"/>
        <v>0</v>
      </c>
      <c r="N70" s="206"/>
      <c r="O70" s="206"/>
      <c r="P70" s="206">
        <v>199628569</v>
      </c>
      <c r="Q70" s="224">
        <f t="shared" si="14"/>
        <v>0.99404819458023352</v>
      </c>
      <c r="R70" s="224"/>
      <c r="S70" s="224">
        <f t="shared" si="15"/>
        <v>0.99944065375491065</v>
      </c>
      <c r="T70" s="224"/>
      <c r="U70" s="224"/>
      <c r="V70" s="224"/>
      <c r="W70" s="224">
        <f t="shared" si="18"/>
        <v>0.92500702147128455</v>
      </c>
    </row>
    <row r="71" spans="1:23" ht="25.5">
      <c r="A71" s="216" t="s">
        <v>448</v>
      </c>
      <c r="B71" s="205" t="s">
        <v>403</v>
      </c>
      <c r="C71" s="206">
        <f t="shared" si="22"/>
        <v>6863795484</v>
      </c>
      <c r="D71" s="206"/>
      <c r="E71" s="206">
        <f>6114895000+414722925</f>
        <v>6529617925</v>
      </c>
      <c r="F71" s="206">
        <f t="shared" si="23"/>
        <v>0</v>
      </c>
      <c r="G71" s="206"/>
      <c r="H71" s="206"/>
      <c r="I71" s="206">
        <v>334177559</v>
      </c>
      <c r="J71" s="206">
        <f t="shared" si="24"/>
        <v>6804617484</v>
      </c>
      <c r="K71" s="206"/>
      <c r="L71" s="206">
        <v>6295494993</v>
      </c>
      <c r="M71" s="206">
        <f t="shared" si="13"/>
        <v>0</v>
      </c>
      <c r="N71" s="206"/>
      <c r="O71" s="206"/>
      <c r="P71" s="206">
        <v>509122491</v>
      </c>
      <c r="Q71" s="224">
        <f t="shared" si="14"/>
        <v>0.99137823961422677</v>
      </c>
      <c r="R71" s="224"/>
      <c r="S71" s="224">
        <f t="shared" si="15"/>
        <v>0.96414446684489585</v>
      </c>
      <c r="T71" s="224"/>
      <c r="U71" s="224"/>
      <c r="V71" s="224"/>
      <c r="W71" s="224">
        <f t="shared" si="18"/>
        <v>1.5235089170066025</v>
      </c>
    </row>
    <row r="72" spans="1:23" ht="25.5">
      <c r="A72" s="216" t="s">
        <v>449</v>
      </c>
      <c r="B72" s="205" t="s">
        <v>404</v>
      </c>
      <c r="C72" s="206">
        <f t="shared" si="22"/>
        <v>7422105016</v>
      </c>
      <c r="D72" s="206"/>
      <c r="E72" s="206">
        <f>6707339000+539531053</f>
        <v>7246870053</v>
      </c>
      <c r="F72" s="206">
        <f t="shared" si="23"/>
        <v>0</v>
      </c>
      <c r="G72" s="206"/>
      <c r="H72" s="206"/>
      <c r="I72" s="206">
        <v>175234963</v>
      </c>
      <c r="J72" s="206">
        <f t="shared" si="24"/>
        <v>7330167016</v>
      </c>
      <c r="K72" s="206"/>
      <c r="L72" s="206">
        <v>7065289665</v>
      </c>
      <c r="M72" s="206">
        <f t="shared" si="13"/>
        <v>0</v>
      </c>
      <c r="N72" s="206"/>
      <c r="O72" s="206"/>
      <c r="P72" s="206">
        <v>264877351</v>
      </c>
      <c r="Q72" s="224">
        <f t="shared" si="14"/>
        <v>0.98761294810544886</v>
      </c>
      <c r="R72" s="224"/>
      <c r="S72" s="224">
        <f t="shared" si="15"/>
        <v>0.97494361197703128</v>
      </c>
      <c r="T72" s="224"/>
      <c r="U72" s="224"/>
      <c r="V72" s="224"/>
      <c r="W72" s="224">
        <f t="shared" si="18"/>
        <v>1.511555379504945</v>
      </c>
    </row>
    <row r="73" spans="1:23">
      <c r="A73" s="216" t="s">
        <v>450</v>
      </c>
      <c r="B73" s="205" t="s">
        <v>405</v>
      </c>
      <c r="C73" s="206">
        <f t="shared" si="22"/>
        <v>5040679985</v>
      </c>
      <c r="D73" s="206"/>
      <c r="E73" s="206">
        <f>4823242000+67701000</f>
        <v>4890943000</v>
      </c>
      <c r="F73" s="206">
        <f t="shared" si="23"/>
        <v>0</v>
      </c>
      <c r="G73" s="206"/>
      <c r="H73" s="206"/>
      <c r="I73" s="206">
        <v>149736985</v>
      </c>
      <c r="J73" s="206">
        <f t="shared" si="24"/>
        <v>5019355429</v>
      </c>
      <c r="K73" s="206"/>
      <c r="L73" s="206">
        <v>4959559495</v>
      </c>
      <c r="M73" s="206">
        <f t="shared" si="13"/>
        <v>0</v>
      </c>
      <c r="N73" s="206"/>
      <c r="O73" s="206"/>
      <c r="P73" s="206">
        <v>59795934</v>
      </c>
      <c r="Q73" s="224">
        <f t="shared" si="14"/>
        <v>0.99576950806965381</v>
      </c>
      <c r="R73" s="224"/>
      <c r="S73" s="224">
        <f t="shared" si="15"/>
        <v>1.0140292976221559</v>
      </c>
      <c r="T73" s="224"/>
      <c r="U73" s="224"/>
      <c r="V73" s="224"/>
      <c r="W73" s="224">
        <f t="shared" si="18"/>
        <v>0.39933977567399265</v>
      </c>
    </row>
    <row r="74" spans="1:23">
      <c r="A74" s="216" t="s">
        <v>451</v>
      </c>
      <c r="B74" s="205" t="s">
        <v>406</v>
      </c>
      <c r="C74" s="206">
        <f t="shared" si="22"/>
        <v>9404402382</v>
      </c>
      <c r="D74" s="206"/>
      <c r="E74" s="206">
        <f>8951699000+319861000</f>
        <v>9271560000</v>
      </c>
      <c r="F74" s="206">
        <f t="shared" si="23"/>
        <v>0</v>
      </c>
      <c r="G74" s="206"/>
      <c r="H74" s="206"/>
      <c r="I74" s="206">
        <v>132842382</v>
      </c>
      <c r="J74" s="206">
        <f t="shared" si="24"/>
        <v>9313226382</v>
      </c>
      <c r="K74" s="206"/>
      <c r="L74" s="206">
        <v>9263437315</v>
      </c>
      <c r="M74" s="206">
        <f t="shared" si="13"/>
        <v>0</v>
      </c>
      <c r="N74" s="206"/>
      <c r="O74" s="206"/>
      <c r="P74" s="206">
        <v>49789067</v>
      </c>
      <c r="Q74" s="224">
        <f t="shared" si="14"/>
        <v>0.99030496608965701</v>
      </c>
      <c r="R74" s="224"/>
      <c r="S74" s="224">
        <f t="shared" si="15"/>
        <v>0.99912391388288491</v>
      </c>
      <c r="T74" s="224"/>
      <c r="U74" s="224"/>
      <c r="V74" s="224"/>
      <c r="W74" s="224">
        <f t="shared" si="18"/>
        <v>0.37479805955301221</v>
      </c>
    </row>
    <row r="75" spans="1:23">
      <c r="A75" s="216" t="s">
        <v>452</v>
      </c>
      <c r="B75" s="205" t="s">
        <v>407</v>
      </c>
      <c r="C75" s="206">
        <f t="shared" si="22"/>
        <v>7635107188</v>
      </c>
      <c r="D75" s="206"/>
      <c r="E75" s="206">
        <f>7463803000+132449732</f>
        <v>7596252732</v>
      </c>
      <c r="F75" s="206">
        <f t="shared" si="23"/>
        <v>0</v>
      </c>
      <c r="G75" s="206"/>
      <c r="H75" s="206"/>
      <c r="I75" s="206">
        <v>38854456</v>
      </c>
      <c r="J75" s="206">
        <f t="shared" si="24"/>
        <v>7578519688</v>
      </c>
      <c r="K75" s="206"/>
      <c r="L75" s="206">
        <v>7497572206</v>
      </c>
      <c r="M75" s="206">
        <f t="shared" si="13"/>
        <v>0</v>
      </c>
      <c r="N75" s="206"/>
      <c r="O75" s="206"/>
      <c r="P75" s="206">
        <v>80947482</v>
      </c>
      <c r="Q75" s="224">
        <f t="shared" si="14"/>
        <v>0.99258851269449921</v>
      </c>
      <c r="R75" s="224"/>
      <c r="S75" s="224">
        <f t="shared" si="15"/>
        <v>0.98700931505552758</v>
      </c>
      <c r="T75" s="224"/>
      <c r="U75" s="224"/>
      <c r="V75" s="224"/>
      <c r="W75" s="224">
        <f t="shared" si="18"/>
        <v>2.0833513149688674</v>
      </c>
    </row>
    <row r="76" spans="1:23" ht="25.5">
      <c r="A76" s="216" t="s">
        <v>453</v>
      </c>
      <c r="B76" s="205" t="s">
        <v>408</v>
      </c>
      <c r="C76" s="206">
        <f t="shared" si="22"/>
        <v>3170739457</v>
      </c>
      <c r="D76" s="206"/>
      <c r="E76" s="206">
        <f>3082890000+50119000</f>
        <v>3133009000</v>
      </c>
      <c r="F76" s="206">
        <f t="shared" si="23"/>
        <v>0</v>
      </c>
      <c r="G76" s="206"/>
      <c r="H76" s="206"/>
      <c r="I76" s="206">
        <v>37730457</v>
      </c>
      <c r="J76" s="206">
        <f t="shared" si="24"/>
        <v>3106694901</v>
      </c>
      <c r="K76" s="206"/>
      <c r="L76" s="206">
        <v>3072178481</v>
      </c>
      <c r="M76" s="206">
        <f t="shared" si="13"/>
        <v>0</v>
      </c>
      <c r="N76" s="206"/>
      <c r="O76" s="206"/>
      <c r="P76" s="206">
        <v>34516420</v>
      </c>
      <c r="Q76" s="224">
        <f t="shared" si="14"/>
        <v>0.97980138170652598</v>
      </c>
      <c r="R76" s="224"/>
      <c r="S76" s="224">
        <f t="shared" si="15"/>
        <v>0.98058399481137781</v>
      </c>
      <c r="T76" s="224"/>
      <c r="U76" s="224"/>
      <c r="V76" s="224"/>
      <c r="W76" s="224">
        <f t="shared" si="18"/>
        <v>0.91481584757905265</v>
      </c>
    </row>
    <row r="77" spans="1:23" ht="25.5">
      <c r="A77" s="216" t="s">
        <v>454</v>
      </c>
      <c r="B77" s="205" t="s">
        <v>409</v>
      </c>
      <c r="C77" s="206">
        <f t="shared" si="22"/>
        <v>4544536595</v>
      </c>
      <c r="D77" s="206"/>
      <c r="E77" s="206">
        <f>4255445000+185856000</f>
        <v>4441301000</v>
      </c>
      <c r="F77" s="206">
        <f t="shared" si="23"/>
        <v>0</v>
      </c>
      <c r="G77" s="206"/>
      <c r="H77" s="206"/>
      <c r="I77" s="206">
        <v>103235595</v>
      </c>
      <c r="J77" s="206">
        <f t="shared" si="24"/>
        <v>4544400795</v>
      </c>
      <c r="K77" s="206"/>
      <c r="L77" s="206">
        <v>4482681224</v>
      </c>
      <c r="M77" s="206">
        <f t="shared" si="13"/>
        <v>0</v>
      </c>
      <c r="N77" s="206"/>
      <c r="O77" s="206"/>
      <c r="P77" s="206">
        <v>61719571</v>
      </c>
      <c r="Q77" s="224">
        <f t="shared" ref="Q77:Q114" si="25">J77/C77</f>
        <v>0.99997011796534996</v>
      </c>
      <c r="R77" s="224"/>
      <c r="S77" s="224">
        <f t="shared" ref="S77:S114" si="26">L77/E77</f>
        <v>1.0093171401803209</v>
      </c>
      <c r="T77" s="224"/>
      <c r="U77" s="224"/>
      <c r="V77" s="224"/>
      <c r="W77" s="224">
        <f t="shared" ref="W77:W114" si="27">P77/I77</f>
        <v>0.59785165184547051</v>
      </c>
    </row>
    <row r="78" spans="1:23" ht="25.5">
      <c r="A78" s="216" t="s">
        <v>455</v>
      </c>
      <c r="B78" s="205" t="s">
        <v>410</v>
      </c>
      <c r="C78" s="206">
        <f t="shared" si="22"/>
        <v>8361611715</v>
      </c>
      <c r="D78" s="206"/>
      <c r="E78" s="206">
        <f>7950813000+284513837</f>
        <v>8235326837</v>
      </c>
      <c r="F78" s="206">
        <f t="shared" si="23"/>
        <v>0</v>
      </c>
      <c r="G78" s="206"/>
      <c r="H78" s="206"/>
      <c r="I78" s="206">
        <v>126284878</v>
      </c>
      <c r="J78" s="206">
        <f t="shared" si="24"/>
        <v>8184409715</v>
      </c>
      <c r="K78" s="206"/>
      <c r="L78" s="206">
        <v>7985293267</v>
      </c>
      <c r="M78" s="206">
        <f t="shared" ref="M78:M114" si="28">N78+O78</f>
        <v>0</v>
      </c>
      <c r="N78" s="206"/>
      <c r="O78" s="206"/>
      <c r="P78" s="206">
        <v>199116448</v>
      </c>
      <c r="Q78" s="224">
        <f t="shared" si="25"/>
        <v>0.97880767416141612</v>
      </c>
      <c r="R78" s="224"/>
      <c r="S78" s="224">
        <f t="shared" si="26"/>
        <v>0.96963890141231079</v>
      </c>
      <c r="T78" s="224"/>
      <c r="U78" s="224"/>
      <c r="V78" s="224"/>
      <c r="W78" s="224">
        <f t="shared" si="27"/>
        <v>1.5767243960911932</v>
      </c>
    </row>
    <row r="79" spans="1:23" ht="25.5">
      <c r="A79" s="216" t="s">
        <v>456</v>
      </c>
      <c r="B79" s="205" t="s">
        <v>411</v>
      </c>
      <c r="C79" s="206">
        <f t="shared" si="22"/>
        <v>3647168830</v>
      </c>
      <c r="D79" s="206"/>
      <c r="E79" s="206">
        <f>3454276000+190772752</f>
        <v>3645048752</v>
      </c>
      <c r="F79" s="206">
        <f t="shared" si="23"/>
        <v>0</v>
      </c>
      <c r="G79" s="206"/>
      <c r="H79" s="206"/>
      <c r="I79" s="206">
        <v>2120078</v>
      </c>
      <c r="J79" s="206">
        <f t="shared" si="24"/>
        <v>3624603530</v>
      </c>
      <c r="K79" s="206"/>
      <c r="L79" s="206">
        <v>3578494201</v>
      </c>
      <c r="M79" s="206">
        <f t="shared" si="28"/>
        <v>0</v>
      </c>
      <c r="N79" s="206"/>
      <c r="O79" s="206"/>
      <c r="P79" s="206">
        <v>46109329</v>
      </c>
      <c r="Q79" s="224">
        <f t="shared" si="25"/>
        <v>0.99381292694366441</v>
      </c>
      <c r="R79" s="224"/>
      <c r="S79" s="224">
        <f t="shared" si="26"/>
        <v>0.98174110813648729</v>
      </c>
      <c r="T79" s="224"/>
      <c r="U79" s="224"/>
      <c r="V79" s="224"/>
      <c r="W79" s="224">
        <f t="shared" si="27"/>
        <v>21.748883295803267</v>
      </c>
    </row>
    <row r="80" spans="1:23" ht="25.5">
      <c r="A80" s="216" t="s">
        <v>457</v>
      </c>
      <c r="B80" s="205" t="s">
        <v>412</v>
      </c>
      <c r="C80" s="206">
        <f t="shared" si="22"/>
        <v>3782036328</v>
      </c>
      <c r="D80" s="206"/>
      <c r="E80" s="206">
        <f>3305983000+211029053</f>
        <v>3517012053</v>
      </c>
      <c r="F80" s="206">
        <f t="shared" si="23"/>
        <v>0</v>
      </c>
      <c r="G80" s="206"/>
      <c r="H80" s="206"/>
      <c r="I80" s="206">
        <v>265024275</v>
      </c>
      <c r="J80" s="206">
        <f t="shared" si="24"/>
        <v>3749426760</v>
      </c>
      <c r="K80" s="206"/>
      <c r="L80" s="206">
        <v>3624428488</v>
      </c>
      <c r="M80" s="206">
        <f t="shared" si="28"/>
        <v>0</v>
      </c>
      <c r="N80" s="206"/>
      <c r="O80" s="206"/>
      <c r="P80" s="206">
        <v>124998272</v>
      </c>
      <c r="Q80" s="224">
        <f t="shared" si="25"/>
        <v>0.99137777504711477</v>
      </c>
      <c r="R80" s="224"/>
      <c r="S80" s="224">
        <f t="shared" si="26"/>
        <v>1.0305419581682622</v>
      </c>
      <c r="T80" s="224"/>
      <c r="U80" s="224"/>
      <c r="V80" s="224"/>
      <c r="W80" s="224">
        <f t="shared" si="27"/>
        <v>0.47164838768071338</v>
      </c>
    </row>
    <row r="81" spans="1:23">
      <c r="A81" s="216" t="s">
        <v>458</v>
      </c>
      <c r="B81" s="205" t="s">
        <v>482</v>
      </c>
      <c r="C81" s="206">
        <f t="shared" si="22"/>
        <v>2564433314</v>
      </c>
      <c r="D81" s="206"/>
      <c r="E81" s="206">
        <f>2302122000+120116594</f>
        <v>2422238594</v>
      </c>
      <c r="F81" s="206">
        <f t="shared" si="23"/>
        <v>0</v>
      </c>
      <c r="G81" s="206"/>
      <c r="H81" s="206"/>
      <c r="I81" s="206">
        <v>142194720</v>
      </c>
      <c r="J81" s="206">
        <f t="shared" si="24"/>
        <v>2536360514</v>
      </c>
      <c r="K81" s="206"/>
      <c r="L81" s="206">
        <v>2486498776</v>
      </c>
      <c r="M81" s="206">
        <f t="shared" si="28"/>
        <v>0</v>
      </c>
      <c r="N81" s="206"/>
      <c r="O81" s="206"/>
      <c r="P81" s="206">
        <v>49861738</v>
      </c>
      <c r="Q81" s="224">
        <f t="shared" si="25"/>
        <v>0.98905302007786977</v>
      </c>
      <c r="R81" s="224"/>
      <c r="S81" s="224">
        <f t="shared" si="26"/>
        <v>1.0265292536247979</v>
      </c>
      <c r="T81" s="224"/>
      <c r="U81" s="224"/>
      <c r="V81" s="224"/>
      <c r="W81" s="224">
        <f t="shared" si="27"/>
        <v>0.35065815383299748</v>
      </c>
    </row>
    <row r="82" spans="1:23" ht="25.5">
      <c r="A82" s="216" t="s">
        <v>459</v>
      </c>
      <c r="B82" s="205" t="s">
        <v>413</v>
      </c>
      <c r="C82" s="206">
        <f t="shared" si="22"/>
        <v>4395617245</v>
      </c>
      <c r="D82" s="206"/>
      <c r="E82" s="206">
        <f>4260322000+135025052</f>
        <v>4395347052</v>
      </c>
      <c r="F82" s="206">
        <f t="shared" si="23"/>
        <v>0</v>
      </c>
      <c r="G82" s="206"/>
      <c r="H82" s="206"/>
      <c r="I82" s="206">
        <v>270193</v>
      </c>
      <c r="J82" s="206">
        <f t="shared" si="24"/>
        <v>4287055289</v>
      </c>
      <c r="K82" s="206"/>
      <c r="L82" s="206">
        <v>4240612373</v>
      </c>
      <c r="M82" s="206">
        <f t="shared" si="28"/>
        <v>0</v>
      </c>
      <c r="N82" s="206"/>
      <c r="O82" s="206"/>
      <c r="P82" s="206">
        <v>46442916</v>
      </c>
      <c r="Q82" s="224">
        <f t="shared" si="25"/>
        <v>0.97530222720745563</v>
      </c>
      <c r="R82" s="224"/>
      <c r="S82" s="224">
        <f t="shared" si="26"/>
        <v>0.96479579947399341</v>
      </c>
      <c r="T82" s="224"/>
      <c r="U82" s="224"/>
      <c r="V82" s="224"/>
      <c r="W82" s="224">
        <f t="shared" si="27"/>
        <v>171.88793195974731</v>
      </c>
    </row>
    <row r="83" spans="1:23" ht="25.5">
      <c r="A83" s="216" t="s">
        <v>460</v>
      </c>
      <c r="B83" s="205" t="s">
        <v>414</v>
      </c>
      <c r="C83" s="206">
        <f t="shared" si="22"/>
        <v>3553221295</v>
      </c>
      <c r="D83" s="206"/>
      <c r="E83" s="206">
        <f>3139336762+368310000</f>
        <v>3507646762</v>
      </c>
      <c r="F83" s="206">
        <f t="shared" si="23"/>
        <v>0</v>
      </c>
      <c r="G83" s="206"/>
      <c r="H83" s="206"/>
      <c r="I83" s="206">
        <v>45574533</v>
      </c>
      <c r="J83" s="206">
        <f t="shared" si="24"/>
        <v>3483716983</v>
      </c>
      <c r="K83" s="206"/>
      <c r="L83" s="206">
        <v>3397712326</v>
      </c>
      <c r="M83" s="206">
        <f t="shared" si="28"/>
        <v>0</v>
      </c>
      <c r="N83" s="206"/>
      <c r="O83" s="206"/>
      <c r="P83" s="206">
        <v>86004657</v>
      </c>
      <c r="Q83" s="224">
        <f t="shared" si="25"/>
        <v>0.98043907028875332</v>
      </c>
      <c r="R83" s="224"/>
      <c r="S83" s="224">
        <f t="shared" si="26"/>
        <v>0.96865863541592279</v>
      </c>
      <c r="T83" s="224"/>
      <c r="U83" s="224"/>
      <c r="V83" s="224"/>
      <c r="W83" s="224">
        <f t="shared" si="27"/>
        <v>1.8871209717058428</v>
      </c>
    </row>
    <row r="84" spans="1:23" ht="25.5">
      <c r="A84" s="216" t="s">
        <v>461</v>
      </c>
      <c r="B84" s="205" t="s">
        <v>415</v>
      </c>
      <c r="C84" s="206">
        <f t="shared" si="22"/>
        <v>4309675783</v>
      </c>
      <c r="D84" s="206"/>
      <c r="E84" s="206">
        <f>3882648000+284943053</f>
        <v>4167591053</v>
      </c>
      <c r="F84" s="206">
        <f t="shared" si="23"/>
        <v>0</v>
      </c>
      <c r="G84" s="206"/>
      <c r="H84" s="206"/>
      <c r="I84" s="206">
        <v>142084730</v>
      </c>
      <c r="J84" s="206">
        <f t="shared" si="24"/>
        <v>4233439483</v>
      </c>
      <c r="K84" s="206"/>
      <c r="L84" s="206">
        <v>4125895170</v>
      </c>
      <c r="M84" s="206">
        <f t="shared" si="28"/>
        <v>0</v>
      </c>
      <c r="N84" s="206"/>
      <c r="O84" s="206"/>
      <c r="P84" s="206">
        <v>107544313</v>
      </c>
      <c r="Q84" s="224">
        <f t="shared" si="25"/>
        <v>0.98231043265465057</v>
      </c>
      <c r="R84" s="224"/>
      <c r="S84" s="224">
        <f t="shared" si="26"/>
        <v>0.9899952076703914</v>
      </c>
      <c r="T84" s="224"/>
      <c r="U84" s="224"/>
      <c r="V84" s="224"/>
      <c r="W84" s="224">
        <f t="shared" si="27"/>
        <v>0.75690268053435439</v>
      </c>
    </row>
    <row r="85" spans="1:23" ht="25.5">
      <c r="A85" s="216" t="s">
        <v>462</v>
      </c>
      <c r="B85" s="205" t="s">
        <v>416</v>
      </c>
      <c r="C85" s="206">
        <f t="shared" si="22"/>
        <v>3569949639</v>
      </c>
      <c r="D85" s="206"/>
      <c r="E85" s="206">
        <f>2877153000+321863000</f>
        <v>3199016000</v>
      </c>
      <c r="F85" s="206">
        <f t="shared" si="23"/>
        <v>0</v>
      </c>
      <c r="G85" s="206"/>
      <c r="H85" s="206"/>
      <c r="I85" s="206">
        <v>370933639</v>
      </c>
      <c r="J85" s="206">
        <f t="shared" si="24"/>
        <v>3483991939</v>
      </c>
      <c r="K85" s="206"/>
      <c r="L85" s="206">
        <v>3093247299</v>
      </c>
      <c r="M85" s="206">
        <f t="shared" si="28"/>
        <v>0</v>
      </c>
      <c r="N85" s="206"/>
      <c r="O85" s="206"/>
      <c r="P85" s="206">
        <v>390744640</v>
      </c>
      <c r="Q85" s="224">
        <f t="shared" si="25"/>
        <v>0.97592187322169677</v>
      </c>
      <c r="R85" s="224"/>
      <c r="S85" s="224">
        <f t="shared" si="26"/>
        <v>0.96693711410008576</v>
      </c>
      <c r="T85" s="224"/>
      <c r="U85" s="224"/>
      <c r="V85" s="224"/>
      <c r="W85" s="224">
        <f t="shared" si="27"/>
        <v>1.0534084777358248</v>
      </c>
    </row>
    <row r="86" spans="1:23">
      <c r="A86" s="216" t="s">
        <v>463</v>
      </c>
      <c r="B86" s="205" t="s">
        <v>417</v>
      </c>
      <c r="C86" s="206">
        <f t="shared" si="22"/>
        <v>5347083216</v>
      </c>
      <c r="D86" s="206"/>
      <c r="E86" s="206">
        <f>5048616000+278525585</f>
        <v>5327141585</v>
      </c>
      <c r="F86" s="206">
        <f t="shared" si="23"/>
        <v>0</v>
      </c>
      <c r="G86" s="206"/>
      <c r="H86" s="206"/>
      <c r="I86" s="206">
        <v>19941631</v>
      </c>
      <c r="J86" s="206">
        <f t="shared" si="24"/>
        <v>5336118341</v>
      </c>
      <c r="K86" s="206"/>
      <c r="L86" s="206">
        <v>5306750895</v>
      </c>
      <c r="M86" s="206">
        <f t="shared" si="28"/>
        <v>0</v>
      </c>
      <c r="N86" s="206"/>
      <c r="O86" s="206"/>
      <c r="P86" s="206">
        <v>29367446</v>
      </c>
      <c r="Q86" s="224">
        <f t="shared" si="25"/>
        <v>0.99794937266598172</v>
      </c>
      <c r="R86" s="224"/>
      <c r="S86" s="224">
        <f t="shared" si="26"/>
        <v>0.99617230184806516</v>
      </c>
      <c r="T86" s="224"/>
      <c r="U86" s="224"/>
      <c r="V86" s="224"/>
      <c r="W86" s="224">
        <f t="shared" si="27"/>
        <v>1.4726702143871782</v>
      </c>
    </row>
    <row r="87" spans="1:23">
      <c r="A87" s="216" t="s">
        <v>464</v>
      </c>
      <c r="B87" s="205" t="s">
        <v>418</v>
      </c>
      <c r="C87" s="206">
        <f t="shared" si="22"/>
        <v>4376639186</v>
      </c>
      <c r="D87" s="206"/>
      <c r="E87" s="206">
        <f>4194799000+173473732</f>
        <v>4368272732</v>
      </c>
      <c r="F87" s="206">
        <f t="shared" si="23"/>
        <v>0</v>
      </c>
      <c r="G87" s="206"/>
      <c r="H87" s="206"/>
      <c r="I87" s="206">
        <v>8366454</v>
      </c>
      <c r="J87" s="206">
        <f t="shared" si="24"/>
        <v>4297777786</v>
      </c>
      <c r="K87" s="206"/>
      <c r="L87" s="206">
        <v>4250614514</v>
      </c>
      <c r="M87" s="206">
        <f t="shared" si="28"/>
        <v>0</v>
      </c>
      <c r="N87" s="206"/>
      <c r="O87" s="206"/>
      <c r="P87" s="206">
        <v>47163272</v>
      </c>
      <c r="Q87" s="224">
        <f t="shared" si="25"/>
        <v>0.981981288233158</v>
      </c>
      <c r="R87" s="224"/>
      <c r="S87" s="224">
        <f t="shared" si="26"/>
        <v>0.97306527654784725</v>
      </c>
      <c r="T87" s="224"/>
      <c r="U87" s="224"/>
      <c r="V87" s="224"/>
      <c r="W87" s="224">
        <f t="shared" si="27"/>
        <v>5.6371877500312557</v>
      </c>
    </row>
    <row r="88" spans="1:23">
      <c r="A88" s="216" t="s">
        <v>465</v>
      </c>
      <c r="B88" s="205" t="s">
        <v>419</v>
      </c>
      <c r="C88" s="206">
        <f t="shared" si="22"/>
        <v>3629713911</v>
      </c>
      <c r="D88" s="206"/>
      <c r="E88" s="206">
        <f>3102344105+518792000</f>
        <v>3621136105</v>
      </c>
      <c r="F88" s="206">
        <f t="shared" si="23"/>
        <v>0</v>
      </c>
      <c r="G88" s="206"/>
      <c r="H88" s="206"/>
      <c r="I88" s="206">
        <v>8577806</v>
      </c>
      <c r="J88" s="206">
        <f t="shared" si="24"/>
        <v>3463435245</v>
      </c>
      <c r="K88" s="206"/>
      <c r="L88" s="206">
        <v>3114410381</v>
      </c>
      <c r="M88" s="206">
        <f t="shared" si="28"/>
        <v>0</v>
      </c>
      <c r="N88" s="206"/>
      <c r="O88" s="206"/>
      <c r="P88" s="206">
        <v>349024864</v>
      </c>
      <c r="Q88" s="224">
        <f t="shared" si="25"/>
        <v>0.95418959453082908</v>
      </c>
      <c r="R88" s="224"/>
      <c r="S88" s="224">
        <f t="shared" si="26"/>
        <v>0.86006443577187774</v>
      </c>
      <c r="T88" s="224"/>
      <c r="U88" s="224"/>
      <c r="V88" s="224"/>
      <c r="W88" s="224">
        <f t="shared" si="27"/>
        <v>40.689293276159425</v>
      </c>
    </row>
    <row r="89" spans="1:23" ht="25.5">
      <c r="A89" s="216" t="s">
        <v>466</v>
      </c>
      <c r="B89" s="205" t="s">
        <v>420</v>
      </c>
      <c r="C89" s="206">
        <f t="shared" si="22"/>
        <v>7913554516</v>
      </c>
      <c r="D89" s="206"/>
      <c r="E89" s="206">
        <f>7286261000+557493142</f>
        <v>7843754142</v>
      </c>
      <c r="F89" s="206">
        <f t="shared" si="23"/>
        <v>0</v>
      </c>
      <c r="G89" s="206"/>
      <c r="H89" s="206"/>
      <c r="I89" s="206">
        <v>69800374</v>
      </c>
      <c r="J89" s="206">
        <f t="shared" si="24"/>
        <v>7857990016</v>
      </c>
      <c r="K89" s="206"/>
      <c r="L89" s="206">
        <v>7699307551</v>
      </c>
      <c r="M89" s="206">
        <f t="shared" si="28"/>
        <v>0</v>
      </c>
      <c r="N89" s="206"/>
      <c r="O89" s="206"/>
      <c r="P89" s="206">
        <v>158682465</v>
      </c>
      <c r="Q89" s="224">
        <f t="shared" si="25"/>
        <v>0.9929785660934467</v>
      </c>
      <c r="R89" s="224"/>
      <c r="S89" s="224">
        <f t="shared" si="26"/>
        <v>0.98158450808311937</v>
      </c>
      <c r="T89" s="224"/>
      <c r="U89" s="224"/>
      <c r="V89" s="224"/>
      <c r="W89" s="224">
        <f t="shared" si="27"/>
        <v>2.2733755695922202</v>
      </c>
    </row>
    <row r="90" spans="1:23">
      <c r="A90" s="216" t="s">
        <v>467</v>
      </c>
      <c r="B90" s="205" t="s">
        <v>421</v>
      </c>
      <c r="C90" s="206">
        <f t="shared" si="22"/>
        <v>5320282590</v>
      </c>
      <c r="D90" s="206"/>
      <c r="E90" s="206">
        <f>5163554000+155056172</f>
        <v>5318610172</v>
      </c>
      <c r="F90" s="206">
        <f t="shared" si="23"/>
        <v>0</v>
      </c>
      <c r="G90" s="206"/>
      <c r="H90" s="206"/>
      <c r="I90" s="206">
        <v>1672418</v>
      </c>
      <c r="J90" s="206">
        <f t="shared" si="24"/>
        <v>5277752234</v>
      </c>
      <c r="K90" s="206"/>
      <c r="L90" s="206">
        <v>5238381336</v>
      </c>
      <c r="M90" s="206">
        <f t="shared" si="28"/>
        <v>0</v>
      </c>
      <c r="N90" s="206"/>
      <c r="O90" s="206"/>
      <c r="P90" s="206">
        <v>39370898</v>
      </c>
      <c r="Q90" s="224">
        <f t="shared" si="25"/>
        <v>0.99200599680927848</v>
      </c>
      <c r="R90" s="224"/>
      <c r="S90" s="224">
        <f t="shared" si="26"/>
        <v>0.9849154509532646</v>
      </c>
      <c r="T90" s="224"/>
      <c r="U90" s="224"/>
      <c r="V90" s="224"/>
      <c r="W90" s="224">
        <f t="shared" si="27"/>
        <v>23.541302473424707</v>
      </c>
    </row>
    <row r="91" spans="1:23" ht="25.5">
      <c r="A91" s="216" t="s">
        <v>468</v>
      </c>
      <c r="B91" s="205" t="s">
        <v>422</v>
      </c>
      <c r="C91" s="206">
        <f t="shared" si="22"/>
        <v>22500000</v>
      </c>
      <c r="D91" s="206"/>
      <c r="E91" s="206">
        <v>22500000</v>
      </c>
      <c r="F91" s="206">
        <f t="shared" si="23"/>
        <v>0</v>
      </c>
      <c r="G91" s="206"/>
      <c r="H91" s="206"/>
      <c r="I91" s="206"/>
      <c r="J91" s="206">
        <f t="shared" si="24"/>
        <v>22500000</v>
      </c>
      <c r="K91" s="206"/>
      <c r="L91" s="206">
        <v>22500000</v>
      </c>
      <c r="M91" s="206">
        <f t="shared" si="28"/>
        <v>0</v>
      </c>
      <c r="N91" s="206"/>
      <c r="O91" s="206"/>
      <c r="P91" s="206"/>
      <c r="Q91" s="224">
        <f t="shared" si="25"/>
        <v>1</v>
      </c>
      <c r="R91" s="224"/>
      <c r="S91" s="224">
        <f t="shared" si="26"/>
        <v>1</v>
      </c>
      <c r="T91" s="224"/>
      <c r="U91" s="224"/>
      <c r="V91" s="224"/>
      <c r="W91" s="224"/>
    </row>
    <row r="92" spans="1:23">
      <c r="A92" s="216" t="s">
        <v>469</v>
      </c>
      <c r="B92" s="205" t="s">
        <v>423</v>
      </c>
      <c r="C92" s="206">
        <f t="shared" si="22"/>
        <v>22500000</v>
      </c>
      <c r="D92" s="206"/>
      <c r="E92" s="206">
        <v>22500000</v>
      </c>
      <c r="F92" s="206">
        <f t="shared" si="23"/>
        <v>0</v>
      </c>
      <c r="G92" s="206"/>
      <c r="H92" s="206"/>
      <c r="I92" s="206"/>
      <c r="J92" s="206">
        <f t="shared" si="24"/>
        <v>22500000</v>
      </c>
      <c r="K92" s="206"/>
      <c r="L92" s="206">
        <v>22500000</v>
      </c>
      <c r="M92" s="206">
        <f t="shared" si="28"/>
        <v>0</v>
      </c>
      <c r="N92" s="206"/>
      <c r="O92" s="206"/>
      <c r="P92" s="206"/>
      <c r="Q92" s="224">
        <f t="shared" si="25"/>
        <v>1</v>
      </c>
      <c r="R92" s="224"/>
      <c r="S92" s="224">
        <f t="shared" si="26"/>
        <v>1</v>
      </c>
      <c r="T92" s="224"/>
      <c r="U92" s="224"/>
      <c r="V92" s="224"/>
      <c r="W92" s="224"/>
    </row>
    <row r="93" spans="1:23" ht="25.5">
      <c r="A93" s="216" t="s">
        <v>470</v>
      </c>
      <c r="B93" s="205" t="s">
        <v>424</v>
      </c>
      <c r="C93" s="206">
        <f t="shared" si="22"/>
        <v>22500000</v>
      </c>
      <c r="D93" s="206"/>
      <c r="E93" s="206">
        <v>22500000</v>
      </c>
      <c r="F93" s="206">
        <f t="shared" si="23"/>
        <v>0</v>
      </c>
      <c r="G93" s="206"/>
      <c r="H93" s="206"/>
      <c r="I93" s="206"/>
      <c r="J93" s="206">
        <f t="shared" si="24"/>
        <v>22499600</v>
      </c>
      <c r="K93" s="206"/>
      <c r="L93" s="206">
        <v>22499600</v>
      </c>
      <c r="M93" s="206">
        <f t="shared" si="28"/>
        <v>0</v>
      </c>
      <c r="N93" s="206"/>
      <c r="O93" s="206"/>
      <c r="P93" s="206"/>
      <c r="Q93" s="224">
        <f t="shared" si="25"/>
        <v>0.99998222222222222</v>
      </c>
      <c r="R93" s="224"/>
      <c r="S93" s="224">
        <f t="shared" si="26"/>
        <v>0.99998222222222222</v>
      </c>
      <c r="T93" s="224"/>
      <c r="U93" s="224"/>
      <c r="V93" s="224"/>
      <c r="W93" s="224"/>
    </row>
    <row r="94" spans="1:23">
      <c r="A94" s="216" t="s">
        <v>471</v>
      </c>
      <c r="B94" s="205" t="s">
        <v>425</v>
      </c>
      <c r="C94" s="206">
        <f t="shared" si="22"/>
        <v>22500000</v>
      </c>
      <c r="D94" s="206"/>
      <c r="E94" s="206">
        <v>22500000</v>
      </c>
      <c r="F94" s="206">
        <f t="shared" si="23"/>
        <v>0</v>
      </c>
      <c r="G94" s="206"/>
      <c r="H94" s="206"/>
      <c r="I94" s="206"/>
      <c r="J94" s="206">
        <f t="shared" si="24"/>
        <v>22500000</v>
      </c>
      <c r="K94" s="206"/>
      <c r="L94" s="206">
        <v>22500000</v>
      </c>
      <c r="M94" s="206">
        <f t="shared" si="28"/>
        <v>0</v>
      </c>
      <c r="N94" s="206"/>
      <c r="O94" s="206"/>
      <c r="P94" s="206"/>
      <c r="Q94" s="224">
        <f t="shared" si="25"/>
        <v>1</v>
      </c>
      <c r="R94" s="224"/>
      <c r="S94" s="224">
        <f t="shared" si="26"/>
        <v>1</v>
      </c>
      <c r="T94" s="224"/>
      <c r="U94" s="224"/>
      <c r="V94" s="224"/>
      <c r="W94" s="224"/>
    </row>
    <row r="95" spans="1:23">
      <c r="A95" s="216" t="s">
        <v>472</v>
      </c>
      <c r="B95" s="205" t="s">
        <v>426</v>
      </c>
      <c r="C95" s="206">
        <f t="shared" si="22"/>
        <v>22500000</v>
      </c>
      <c r="D95" s="206"/>
      <c r="E95" s="206">
        <v>22500000</v>
      </c>
      <c r="F95" s="206">
        <f t="shared" si="23"/>
        <v>0</v>
      </c>
      <c r="G95" s="206"/>
      <c r="H95" s="206"/>
      <c r="I95" s="206"/>
      <c r="J95" s="206">
        <f t="shared" si="24"/>
        <v>21952120</v>
      </c>
      <c r="K95" s="206"/>
      <c r="L95" s="206">
        <v>21952120</v>
      </c>
      <c r="M95" s="206">
        <f t="shared" si="28"/>
        <v>0</v>
      </c>
      <c r="N95" s="206"/>
      <c r="O95" s="206"/>
      <c r="P95" s="206"/>
      <c r="Q95" s="224">
        <f t="shared" si="25"/>
        <v>0.97564977777777773</v>
      </c>
      <c r="R95" s="224"/>
      <c r="S95" s="224">
        <f t="shared" si="26"/>
        <v>0.97564977777777773</v>
      </c>
      <c r="T95" s="224"/>
      <c r="U95" s="224"/>
      <c r="V95" s="224"/>
      <c r="W95" s="224"/>
    </row>
    <row r="96" spans="1:23" ht="25.5">
      <c r="A96" s="216" t="s">
        <v>473</v>
      </c>
      <c r="B96" s="205" t="s">
        <v>427</v>
      </c>
      <c r="C96" s="206">
        <f t="shared" si="22"/>
        <v>22500000</v>
      </c>
      <c r="D96" s="206"/>
      <c r="E96" s="206">
        <v>22500000</v>
      </c>
      <c r="F96" s="206">
        <f t="shared" si="23"/>
        <v>0</v>
      </c>
      <c r="G96" s="206"/>
      <c r="H96" s="206"/>
      <c r="I96" s="206"/>
      <c r="J96" s="206">
        <f t="shared" si="24"/>
        <v>22500000</v>
      </c>
      <c r="K96" s="206"/>
      <c r="L96" s="206">
        <v>22500000</v>
      </c>
      <c r="M96" s="206">
        <f t="shared" si="28"/>
        <v>0</v>
      </c>
      <c r="N96" s="206"/>
      <c r="O96" s="206"/>
      <c r="P96" s="206"/>
      <c r="Q96" s="224">
        <f t="shared" si="25"/>
        <v>1</v>
      </c>
      <c r="R96" s="224"/>
      <c r="S96" s="224">
        <f t="shared" si="26"/>
        <v>1</v>
      </c>
      <c r="T96" s="224"/>
      <c r="U96" s="224"/>
      <c r="V96" s="224"/>
      <c r="W96" s="224"/>
    </row>
    <row r="97" spans="1:23">
      <c r="A97" s="216" t="s">
        <v>474</v>
      </c>
      <c r="B97" s="205" t="s">
        <v>428</v>
      </c>
      <c r="C97" s="206">
        <f t="shared" si="22"/>
        <v>22500000</v>
      </c>
      <c r="D97" s="206"/>
      <c r="E97" s="206">
        <v>22500000</v>
      </c>
      <c r="F97" s="206">
        <f t="shared" si="23"/>
        <v>0</v>
      </c>
      <c r="G97" s="206"/>
      <c r="H97" s="206"/>
      <c r="I97" s="206"/>
      <c r="J97" s="206">
        <f t="shared" si="24"/>
        <v>22500000</v>
      </c>
      <c r="K97" s="206"/>
      <c r="L97" s="206">
        <v>22500000</v>
      </c>
      <c r="M97" s="206">
        <f t="shared" si="28"/>
        <v>0</v>
      </c>
      <c r="N97" s="206"/>
      <c r="O97" s="206"/>
      <c r="P97" s="206"/>
      <c r="Q97" s="224">
        <f t="shared" si="25"/>
        <v>1</v>
      </c>
      <c r="R97" s="224"/>
      <c r="S97" s="224">
        <f t="shared" si="26"/>
        <v>1</v>
      </c>
      <c r="T97" s="224"/>
      <c r="U97" s="224"/>
      <c r="V97" s="224"/>
      <c r="W97" s="224"/>
    </row>
    <row r="98" spans="1:23">
      <c r="A98" s="216" t="s">
        <v>475</v>
      </c>
      <c r="B98" s="205" t="s">
        <v>429</v>
      </c>
      <c r="C98" s="206">
        <f t="shared" si="22"/>
        <v>22500000</v>
      </c>
      <c r="D98" s="206"/>
      <c r="E98" s="206">
        <v>22500000</v>
      </c>
      <c r="F98" s="206">
        <f t="shared" si="23"/>
        <v>0</v>
      </c>
      <c r="G98" s="206"/>
      <c r="H98" s="206"/>
      <c r="I98" s="206"/>
      <c r="J98" s="206">
        <f t="shared" si="24"/>
        <v>22500000</v>
      </c>
      <c r="K98" s="206"/>
      <c r="L98" s="206">
        <v>22500000</v>
      </c>
      <c r="M98" s="206">
        <f t="shared" si="28"/>
        <v>0</v>
      </c>
      <c r="N98" s="206"/>
      <c r="O98" s="206"/>
      <c r="P98" s="206"/>
      <c r="Q98" s="224">
        <f t="shared" si="25"/>
        <v>1</v>
      </c>
      <c r="R98" s="224"/>
      <c r="S98" s="224">
        <f t="shared" si="26"/>
        <v>1</v>
      </c>
      <c r="T98" s="224"/>
      <c r="U98" s="224"/>
      <c r="V98" s="224"/>
      <c r="W98" s="224"/>
    </row>
    <row r="99" spans="1:23" ht="25.5">
      <c r="A99" s="216" t="s">
        <v>476</v>
      </c>
      <c r="B99" s="205" t="s">
        <v>430</v>
      </c>
      <c r="C99" s="206">
        <f t="shared" si="22"/>
        <v>22500000</v>
      </c>
      <c r="D99" s="206"/>
      <c r="E99" s="206">
        <v>22500000</v>
      </c>
      <c r="F99" s="206">
        <f t="shared" si="23"/>
        <v>0</v>
      </c>
      <c r="G99" s="206"/>
      <c r="H99" s="206"/>
      <c r="I99" s="206"/>
      <c r="J99" s="206">
        <f t="shared" si="24"/>
        <v>16398520</v>
      </c>
      <c r="K99" s="206"/>
      <c r="L99" s="206">
        <v>16398520</v>
      </c>
      <c r="M99" s="206">
        <f t="shared" si="28"/>
        <v>0</v>
      </c>
      <c r="N99" s="206"/>
      <c r="O99" s="206"/>
      <c r="P99" s="206"/>
      <c r="Q99" s="224">
        <f t="shared" si="25"/>
        <v>0.72882311111111109</v>
      </c>
      <c r="R99" s="224"/>
      <c r="S99" s="224">
        <f t="shared" si="26"/>
        <v>0.72882311111111109</v>
      </c>
      <c r="T99" s="224"/>
      <c r="U99" s="224"/>
      <c r="V99" s="224"/>
      <c r="W99" s="224"/>
    </row>
    <row r="100" spans="1:23">
      <c r="A100" s="216" t="s">
        <v>477</v>
      </c>
      <c r="B100" s="205" t="s">
        <v>431</v>
      </c>
      <c r="C100" s="206">
        <f t="shared" si="22"/>
        <v>22500000</v>
      </c>
      <c r="D100" s="206"/>
      <c r="E100" s="206">
        <v>22500000</v>
      </c>
      <c r="F100" s="206">
        <f t="shared" si="23"/>
        <v>0</v>
      </c>
      <c r="G100" s="206"/>
      <c r="H100" s="206"/>
      <c r="I100" s="206"/>
      <c r="J100" s="206">
        <f t="shared" si="24"/>
        <v>22308110</v>
      </c>
      <c r="K100" s="206"/>
      <c r="L100" s="206">
        <v>22308110</v>
      </c>
      <c r="M100" s="206">
        <f t="shared" si="28"/>
        <v>0</v>
      </c>
      <c r="N100" s="206"/>
      <c r="O100" s="206"/>
      <c r="P100" s="206"/>
      <c r="Q100" s="224">
        <f t="shared" si="25"/>
        <v>0.99147155555555555</v>
      </c>
      <c r="R100" s="224"/>
      <c r="S100" s="224">
        <f t="shared" si="26"/>
        <v>0.99147155555555555</v>
      </c>
      <c r="T100" s="224"/>
      <c r="U100" s="224"/>
      <c r="V100" s="224"/>
      <c r="W100" s="224"/>
    </row>
    <row r="101" spans="1:23" ht="25.5">
      <c r="A101" s="216" t="s">
        <v>478</v>
      </c>
      <c r="B101" s="205" t="s">
        <v>432</v>
      </c>
      <c r="C101" s="206">
        <f t="shared" si="22"/>
        <v>22500000</v>
      </c>
      <c r="D101" s="206"/>
      <c r="E101" s="206">
        <v>22500000</v>
      </c>
      <c r="F101" s="206">
        <f t="shared" si="23"/>
        <v>0</v>
      </c>
      <c r="G101" s="206"/>
      <c r="H101" s="206"/>
      <c r="I101" s="206"/>
      <c r="J101" s="206">
        <f t="shared" si="24"/>
        <v>22359160</v>
      </c>
      <c r="K101" s="206"/>
      <c r="L101" s="206">
        <v>22359160</v>
      </c>
      <c r="M101" s="206">
        <f t="shared" si="28"/>
        <v>0</v>
      </c>
      <c r="N101" s="206"/>
      <c r="O101" s="206"/>
      <c r="P101" s="206"/>
      <c r="Q101" s="224">
        <f t="shared" si="25"/>
        <v>0.99374044444444443</v>
      </c>
      <c r="R101" s="224"/>
      <c r="S101" s="224">
        <f t="shared" si="26"/>
        <v>0.99374044444444443</v>
      </c>
      <c r="T101" s="224"/>
      <c r="U101" s="224"/>
      <c r="V101" s="224"/>
      <c r="W101" s="224"/>
    </row>
    <row r="102" spans="1:23" ht="25.5">
      <c r="A102" s="216" t="s">
        <v>491</v>
      </c>
      <c r="B102" s="205" t="s">
        <v>433</v>
      </c>
      <c r="C102" s="206">
        <f t="shared" si="22"/>
        <v>22500000</v>
      </c>
      <c r="D102" s="206"/>
      <c r="E102" s="206">
        <v>22500000</v>
      </c>
      <c r="F102" s="206">
        <f t="shared" si="23"/>
        <v>0</v>
      </c>
      <c r="G102" s="206"/>
      <c r="H102" s="206"/>
      <c r="I102" s="206"/>
      <c r="J102" s="206">
        <f t="shared" si="24"/>
        <v>22446720</v>
      </c>
      <c r="K102" s="206"/>
      <c r="L102" s="206">
        <v>22446720</v>
      </c>
      <c r="M102" s="206">
        <f t="shared" si="28"/>
        <v>0</v>
      </c>
      <c r="N102" s="206"/>
      <c r="O102" s="206"/>
      <c r="P102" s="206"/>
      <c r="Q102" s="224">
        <f t="shared" si="25"/>
        <v>0.99763199999999996</v>
      </c>
      <c r="R102" s="224"/>
      <c r="S102" s="224">
        <f t="shared" si="26"/>
        <v>0.99763199999999996</v>
      </c>
      <c r="T102" s="224"/>
      <c r="U102" s="224"/>
      <c r="V102" s="224"/>
      <c r="W102" s="224"/>
    </row>
    <row r="103" spans="1:23">
      <c r="A103" s="216" t="s">
        <v>492</v>
      </c>
      <c r="B103" s="205" t="s">
        <v>483</v>
      </c>
      <c r="C103" s="206">
        <f t="shared" si="22"/>
        <v>539564000</v>
      </c>
      <c r="D103" s="206"/>
      <c r="E103" s="206">
        <v>207564000</v>
      </c>
      <c r="F103" s="206">
        <f t="shared" si="23"/>
        <v>300000000</v>
      </c>
      <c r="G103" s="206">
        <v>300000000</v>
      </c>
      <c r="H103" s="206"/>
      <c r="I103" s="206">
        <v>32000000</v>
      </c>
      <c r="J103" s="206">
        <f t="shared" si="24"/>
        <v>537052797</v>
      </c>
      <c r="K103" s="206">
        <v>29488797</v>
      </c>
      <c r="L103" s="206">
        <v>207564000</v>
      </c>
      <c r="M103" s="206">
        <f t="shared" si="28"/>
        <v>300000000</v>
      </c>
      <c r="N103" s="206">
        <v>300000000</v>
      </c>
      <c r="O103" s="206"/>
      <c r="P103" s="206"/>
      <c r="Q103" s="224">
        <f t="shared" si="25"/>
        <v>0.99534586629204325</v>
      </c>
      <c r="R103" s="224"/>
      <c r="S103" s="224">
        <f t="shared" si="26"/>
        <v>1</v>
      </c>
      <c r="T103" s="224">
        <f t="shared" ref="T103:T114" si="29">M103/F103</f>
        <v>1</v>
      </c>
      <c r="U103" s="224">
        <f t="shared" ref="U103:U114" si="30">N103/G103</f>
        <v>1</v>
      </c>
      <c r="V103" s="224" t="e">
        <f t="shared" ref="V103:V114" si="31">O103/H103</f>
        <v>#DIV/0!</v>
      </c>
      <c r="W103" s="224">
        <f t="shared" si="27"/>
        <v>0</v>
      </c>
    </row>
    <row r="104" spans="1:23">
      <c r="A104" s="216" t="s">
        <v>493</v>
      </c>
      <c r="B104" s="205" t="s">
        <v>509</v>
      </c>
      <c r="C104" s="206">
        <f t="shared" si="22"/>
        <v>1594785900</v>
      </c>
      <c r="D104" s="206"/>
      <c r="E104" s="206">
        <v>147588000</v>
      </c>
      <c r="F104" s="206">
        <f t="shared" si="23"/>
        <v>1356197900</v>
      </c>
      <c r="G104" s="206">
        <v>1356197900</v>
      </c>
      <c r="H104" s="206"/>
      <c r="I104" s="206">
        <v>91000000</v>
      </c>
      <c r="J104" s="206">
        <f t="shared" si="24"/>
        <v>1594785900</v>
      </c>
      <c r="K104" s="206">
        <v>91000000</v>
      </c>
      <c r="L104" s="206">
        <v>147588000</v>
      </c>
      <c r="M104" s="206">
        <f t="shared" si="28"/>
        <v>1332833105</v>
      </c>
      <c r="N104" s="206">
        <v>1332833105</v>
      </c>
      <c r="O104" s="206"/>
      <c r="P104" s="206">
        <v>23364795</v>
      </c>
      <c r="Q104" s="224">
        <f t="shared" si="25"/>
        <v>1</v>
      </c>
      <c r="R104" s="224"/>
      <c r="S104" s="224">
        <f t="shared" si="26"/>
        <v>1</v>
      </c>
      <c r="T104" s="224">
        <f t="shared" si="29"/>
        <v>0.98277183956707204</v>
      </c>
      <c r="U104" s="224">
        <f t="shared" si="30"/>
        <v>0.98277183956707204</v>
      </c>
      <c r="V104" s="224" t="e">
        <f t="shared" si="31"/>
        <v>#DIV/0!</v>
      </c>
      <c r="W104" s="224">
        <f t="shared" si="27"/>
        <v>0.25675598901098901</v>
      </c>
    </row>
    <row r="105" spans="1:23">
      <c r="A105" s="216" t="s">
        <v>494</v>
      </c>
      <c r="B105" s="205" t="s">
        <v>484</v>
      </c>
      <c r="C105" s="206">
        <f t="shared" si="22"/>
        <v>4266693000</v>
      </c>
      <c r="D105" s="206"/>
      <c r="E105" s="206">
        <v>204624000</v>
      </c>
      <c r="F105" s="206">
        <f t="shared" si="23"/>
        <v>3952893000</v>
      </c>
      <c r="G105" s="206">
        <v>3952893000</v>
      </c>
      <c r="H105" s="206"/>
      <c r="I105" s="206">
        <v>109176000</v>
      </c>
      <c r="J105" s="206">
        <f t="shared" si="24"/>
        <v>4179296300</v>
      </c>
      <c r="K105" s="206"/>
      <c r="L105" s="206">
        <v>204624000</v>
      </c>
      <c r="M105" s="206">
        <f t="shared" si="28"/>
        <v>3974672300</v>
      </c>
      <c r="N105" s="206">
        <v>3974672300</v>
      </c>
      <c r="O105" s="206"/>
      <c r="P105" s="206"/>
      <c r="Q105" s="224">
        <f t="shared" si="25"/>
        <v>0.97951652485894813</v>
      </c>
      <c r="R105" s="224"/>
      <c r="S105" s="224">
        <f t="shared" si="26"/>
        <v>1</v>
      </c>
      <c r="T105" s="224">
        <f t="shared" si="29"/>
        <v>1.005509711494847</v>
      </c>
      <c r="U105" s="224">
        <f t="shared" si="30"/>
        <v>1.005509711494847</v>
      </c>
      <c r="V105" s="224" t="e">
        <f t="shared" si="31"/>
        <v>#DIV/0!</v>
      </c>
      <c r="W105" s="224">
        <f t="shared" si="27"/>
        <v>0</v>
      </c>
    </row>
    <row r="106" spans="1:23">
      <c r="A106" s="216" t="s">
        <v>495</v>
      </c>
      <c r="B106" s="205" t="s">
        <v>485</v>
      </c>
      <c r="C106" s="206">
        <f t="shared" si="22"/>
        <v>1615473981</v>
      </c>
      <c r="D106" s="206"/>
      <c r="E106" s="206">
        <v>37632000</v>
      </c>
      <c r="F106" s="206">
        <f t="shared" si="23"/>
        <v>1000000000</v>
      </c>
      <c r="G106" s="206">
        <v>1000000000</v>
      </c>
      <c r="H106" s="206"/>
      <c r="I106" s="206">
        <v>577841981</v>
      </c>
      <c r="J106" s="206">
        <f t="shared" si="24"/>
        <v>1612198382</v>
      </c>
      <c r="K106" s="206">
        <v>162359401</v>
      </c>
      <c r="L106" s="206">
        <v>37632000</v>
      </c>
      <c r="M106" s="206">
        <f t="shared" si="28"/>
        <v>1412206981</v>
      </c>
      <c r="N106" s="206">
        <v>1412206981</v>
      </c>
      <c r="O106" s="206"/>
      <c r="P106" s="206"/>
      <c r="Q106" s="224">
        <f t="shared" si="25"/>
        <v>0.99797236041030368</v>
      </c>
      <c r="R106" s="224"/>
      <c r="S106" s="224">
        <f t="shared" si="26"/>
        <v>1</v>
      </c>
      <c r="T106" s="224">
        <f t="shared" si="29"/>
        <v>1.412206981</v>
      </c>
      <c r="U106" s="224">
        <f t="shared" si="30"/>
        <v>1.412206981</v>
      </c>
      <c r="V106" s="224" t="e">
        <f t="shared" si="31"/>
        <v>#DIV/0!</v>
      </c>
      <c r="W106" s="224">
        <f t="shared" si="27"/>
        <v>0</v>
      </c>
    </row>
    <row r="107" spans="1:23">
      <c r="A107" s="216" t="s">
        <v>496</v>
      </c>
      <c r="B107" s="205" t="s">
        <v>486</v>
      </c>
      <c r="C107" s="206">
        <f t="shared" si="22"/>
        <v>6317311000</v>
      </c>
      <c r="D107" s="206"/>
      <c r="E107" s="206">
        <v>370440000</v>
      </c>
      <c r="F107" s="206">
        <f t="shared" si="23"/>
        <v>5853915000</v>
      </c>
      <c r="G107" s="206">
        <v>5853915000</v>
      </c>
      <c r="H107" s="206"/>
      <c r="I107" s="206">
        <v>92956000</v>
      </c>
      <c r="J107" s="206">
        <f t="shared" si="24"/>
        <v>6316538000</v>
      </c>
      <c r="K107" s="206">
        <v>56537000</v>
      </c>
      <c r="L107" s="206">
        <v>370440000</v>
      </c>
      <c r="M107" s="206">
        <f t="shared" si="28"/>
        <v>2799453000</v>
      </c>
      <c r="N107" s="206">
        <v>2799453000</v>
      </c>
      <c r="O107" s="206"/>
      <c r="P107" s="206">
        <v>3090108000</v>
      </c>
      <c r="Q107" s="224">
        <f t="shared" si="25"/>
        <v>0.99987763781140426</v>
      </c>
      <c r="R107" s="224"/>
      <c r="S107" s="224">
        <f t="shared" si="26"/>
        <v>1</v>
      </c>
      <c r="T107" s="224">
        <f t="shared" si="29"/>
        <v>0.47821893553288697</v>
      </c>
      <c r="U107" s="224">
        <f t="shared" si="30"/>
        <v>0.47821893553288697</v>
      </c>
      <c r="V107" s="224" t="e">
        <f t="shared" si="31"/>
        <v>#DIV/0!</v>
      </c>
      <c r="W107" s="224">
        <f t="shared" si="27"/>
        <v>33.24269546882396</v>
      </c>
    </row>
    <row r="108" spans="1:23">
      <c r="A108" s="216" t="s">
        <v>497</v>
      </c>
      <c r="B108" s="205" t="s">
        <v>487</v>
      </c>
      <c r="C108" s="206">
        <f t="shared" si="22"/>
        <v>6221286500</v>
      </c>
      <c r="D108" s="206">
        <v>170000000</v>
      </c>
      <c r="E108" s="206">
        <v>59388000</v>
      </c>
      <c r="F108" s="206">
        <f t="shared" si="23"/>
        <v>5911686000</v>
      </c>
      <c r="G108" s="206">
        <v>5911686000</v>
      </c>
      <c r="H108" s="206"/>
      <c r="I108" s="206">
        <v>80212500</v>
      </c>
      <c r="J108" s="206">
        <f t="shared" si="24"/>
        <v>6215074000</v>
      </c>
      <c r="K108" s="206">
        <v>239043000</v>
      </c>
      <c r="L108" s="206">
        <v>59388000</v>
      </c>
      <c r="M108" s="206">
        <f t="shared" si="28"/>
        <v>3633010000</v>
      </c>
      <c r="N108" s="206">
        <v>3633010000</v>
      </c>
      <c r="O108" s="206"/>
      <c r="P108" s="206">
        <v>2283633000</v>
      </c>
      <c r="Q108" s="224">
        <f t="shared" si="25"/>
        <v>0.99900141232846296</v>
      </c>
      <c r="R108" s="224">
        <f t="shared" ref="R108:R114" si="32">K108/D108</f>
        <v>1.406135294117647</v>
      </c>
      <c r="S108" s="224">
        <f t="shared" si="26"/>
        <v>1</v>
      </c>
      <c r="T108" s="224">
        <f t="shared" si="29"/>
        <v>0.61454718670781905</v>
      </c>
      <c r="U108" s="224">
        <f t="shared" si="30"/>
        <v>0.61454718670781905</v>
      </c>
      <c r="V108" s="224" t="e">
        <f t="shared" si="31"/>
        <v>#DIV/0!</v>
      </c>
      <c r="W108" s="224">
        <f t="shared" si="27"/>
        <v>28.469789621318373</v>
      </c>
    </row>
    <row r="109" spans="1:23">
      <c r="A109" s="216" t="s">
        <v>498</v>
      </c>
      <c r="B109" s="205" t="s">
        <v>488</v>
      </c>
      <c r="C109" s="206">
        <f t="shared" si="22"/>
        <v>2783629900</v>
      </c>
      <c r="D109" s="206">
        <v>65000000</v>
      </c>
      <c r="E109" s="206">
        <v>49980000</v>
      </c>
      <c r="F109" s="206">
        <f t="shared" si="23"/>
        <v>2602593000</v>
      </c>
      <c r="G109" s="206">
        <v>2602593000</v>
      </c>
      <c r="H109" s="206"/>
      <c r="I109" s="206">
        <v>66056900</v>
      </c>
      <c r="J109" s="206">
        <f t="shared" si="24"/>
        <v>2734349000</v>
      </c>
      <c r="K109" s="206">
        <v>81800000</v>
      </c>
      <c r="L109" s="206">
        <v>49980000</v>
      </c>
      <c r="M109" s="206">
        <f t="shared" si="28"/>
        <v>2586494600</v>
      </c>
      <c r="N109" s="206">
        <v>2586494600</v>
      </c>
      <c r="O109" s="206"/>
      <c r="P109" s="206">
        <v>16074400</v>
      </c>
      <c r="Q109" s="224">
        <f t="shared" si="25"/>
        <v>0.98229617378373468</v>
      </c>
      <c r="R109" s="224">
        <f t="shared" si="32"/>
        <v>1.2584615384615385</v>
      </c>
      <c r="S109" s="224">
        <f t="shared" si="26"/>
        <v>1</v>
      </c>
      <c r="T109" s="224">
        <f t="shared" si="29"/>
        <v>0.99381447656241295</v>
      </c>
      <c r="U109" s="224">
        <f t="shared" si="30"/>
        <v>0.99381447656241295</v>
      </c>
      <c r="V109" s="224" t="e">
        <f t="shared" si="31"/>
        <v>#DIV/0!</v>
      </c>
      <c r="W109" s="224">
        <f t="shared" si="27"/>
        <v>0.24334172508852217</v>
      </c>
    </row>
    <row r="110" spans="1:23">
      <c r="A110" s="216" t="s">
        <v>499</v>
      </c>
      <c r="B110" s="205" t="s">
        <v>489</v>
      </c>
      <c r="C110" s="206">
        <f t="shared" si="22"/>
        <v>5106462000</v>
      </c>
      <c r="D110" s="206">
        <v>35000000</v>
      </c>
      <c r="E110" s="206">
        <v>74676000</v>
      </c>
      <c r="F110" s="206">
        <f t="shared" si="23"/>
        <v>4814933000</v>
      </c>
      <c r="G110" s="206">
        <v>4814933000</v>
      </c>
      <c r="H110" s="206"/>
      <c r="I110" s="206">
        <v>181853000</v>
      </c>
      <c r="J110" s="206">
        <f t="shared" si="24"/>
        <v>5064535100</v>
      </c>
      <c r="K110" s="206">
        <v>149926100</v>
      </c>
      <c r="L110" s="206">
        <v>74676000</v>
      </c>
      <c r="M110" s="206">
        <f t="shared" si="28"/>
        <v>2874507000</v>
      </c>
      <c r="N110" s="206">
        <v>2874507000</v>
      </c>
      <c r="O110" s="206"/>
      <c r="P110" s="206">
        <v>1965426000</v>
      </c>
      <c r="Q110" s="224">
        <f t="shared" si="25"/>
        <v>0.99178944247504441</v>
      </c>
      <c r="R110" s="224">
        <f t="shared" si="32"/>
        <v>4.2836028571428573</v>
      </c>
      <c r="S110" s="224">
        <f t="shared" si="26"/>
        <v>1</v>
      </c>
      <c r="T110" s="224">
        <f t="shared" si="29"/>
        <v>0.59699833829463467</v>
      </c>
      <c r="U110" s="224">
        <f t="shared" si="30"/>
        <v>0.59699833829463467</v>
      </c>
      <c r="V110" s="224" t="e">
        <f t="shared" si="31"/>
        <v>#DIV/0!</v>
      </c>
      <c r="W110" s="224">
        <f t="shared" si="27"/>
        <v>10.807773311410864</v>
      </c>
    </row>
    <row r="111" spans="1:23">
      <c r="A111" s="216" t="s">
        <v>500</v>
      </c>
      <c r="B111" s="205" t="s">
        <v>490</v>
      </c>
      <c r="C111" s="206">
        <f t="shared" si="22"/>
        <v>2825614000</v>
      </c>
      <c r="D111" s="206"/>
      <c r="E111" s="206">
        <v>140532000</v>
      </c>
      <c r="F111" s="206">
        <f t="shared" si="23"/>
        <v>2508937000</v>
      </c>
      <c r="G111" s="206">
        <v>2508937000</v>
      </c>
      <c r="H111" s="206"/>
      <c r="I111" s="206">
        <f>176145000</f>
        <v>176145000</v>
      </c>
      <c r="J111" s="206">
        <f t="shared" si="24"/>
        <v>2758781000</v>
      </c>
      <c r="K111" s="206">
        <v>21000000</v>
      </c>
      <c r="L111" s="206">
        <v>140532000</v>
      </c>
      <c r="M111" s="206">
        <f t="shared" si="28"/>
        <v>2549064000</v>
      </c>
      <c r="N111" s="206">
        <v>2549064000</v>
      </c>
      <c r="O111" s="206"/>
      <c r="P111" s="206">
        <v>48185000</v>
      </c>
      <c r="Q111" s="224">
        <f t="shared" si="25"/>
        <v>0.97634744165338927</v>
      </c>
      <c r="R111" s="224" t="e">
        <f t="shared" si="32"/>
        <v>#DIV/0!</v>
      </c>
      <c r="S111" s="224">
        <f t="shared" si="26"/>
        <v>1</v>
      </c>
      <c r="T111" s="224">
        <f t="shared" si="29"/>
        <v>1.0159936259858258</v>
      </c>
      <c r="U111" s="224">
        <f t="shared" si="30"/>
        <v>1.0159936259858258</v>
      </c>
      <c r="V111" s="224" t="e">
        <f t="shared" si="31"/>
        <v>#DIV/0!</v>
      </c>
      <c r="W111" s="224">
        <f t="shared" si="27"/>
        <v>0.27355303868971587</v>
      </c>
    </row>
    <row r="112" spans="1:23">
      <c r="A112" s="216" t="s">
        <v>501</v>
      </c>
      <c r="B112" s="205" t="s">
        <v>288</v>
      </c>
      <c r="C112" s="206">
        <f t="shared" si="22"/>
        <v>3588995000</v>
      </c>
      <c r="D112" s="206">
        <v>58000000</v>
      </c>
      <c r="E112" s="206">
        <v>82320000</v>
      </c>
      <c r="F112" s="206">
        <f t="shared" si="23"/>
        <v>2844675000</v>
      </c>
      <c r="G112" s="206">
        <v>2844675000</v>
      </c>
      <c r="H112" s="206"/>
      <c r="I112" s="206">
        <v>604000000</v>
      </c>
      <c r="J112" s="206">
        <f t="shared" si="24"/>
        <v>3584482150</v>
      </c>
      <c r="K112" s="206">
        <v>649916150</v>
      </c>
      <c r="L112" s="206">
        <v>82320000</v>
      </c>
      <c r="M112" s="206">
        <f t="shared" si="28"/>
        <v>2844011000</v>
      </c>
      <c r="N112" s="206">
        <v>2844011000</v>
      </c>
      <c r="O112" s="206"/>
      <c r="P112" s="206">
        <v>8235000</v>
      </c>
      <c r="Q112" s="224">
        <f t="shared" si="25"/>
        <v>0.99874258671299343</v>
      </c>
      <c r="R112" s="224">
        <f t="shared" si="32"/>
        <v>11.205450862068966</v>
      </c>
      <c r="S112" s="224">
        <f t="shared" si="26"/>
        <v>1</v>
      </c>
      <c r="T112" s="224">
        <f t="shared" si="29"/>
        <v>0.99976658141967012</v>
      </c>
      <c r="U112" s="224">
        <f t="shared" si="30"/>
        <v>0.99976658141967012</v>
      </c>
      <c r="V112" s="224" t="e">
        <f t="shared" si="31"/>
        <v>#DIV/0!</v>
      </c>
      <c r="W112" s="224">
        <f t="shared" si="27"/>
        <v>1.3634105960264901E-2</v>
      </c>
    </row>
    <row r="113" spans="1:23">
      <c r="A113" s="216" t="s">
        <v>502</v>
      </c>
      <c r="B113" s="205" t="s">
        <v>289</v>
      </c>
      <c r="C113" s="206">
        <f t="shared" si="22"/>
        <v>4275930100</v>
      </c>
      <c r="D113" s="206"/>
      <c r="E113" s="206">
        <v>356916000</v>
      </c>
      <c r="F113" s="206">
        <f t="shared" si="23"/>
        <v>3774063100</v>
      </c>
      <c r="G113" s="206">
        <v>3774063100</v>
      </c>
      <c r="H113" s="206"/>
      <c r="I113" s="206">
        <v>144951000</v>
      </c>
      <c r="J113" s="206">
        <f t="shared" si="24"/>
        <v>4275930100</v>
      </c>
      <c r="K113" s="206">
        <v>100297000</v>
      </c>
      <c r="L113" s="206">
        <v>356916000</v>
      </c>
      <c r="M113" s="206">
        <f t="shared" si="28"/>
        <v>3805218100</v>
      </c>
      <c r="N113" s="206">
        <v>3805218100</v>
      </c>
      <c r="O113" s="206"/>
      <c r="P113" s="206">
        <v>13499000</v>
      </c>
      <c r="Q113" s="224">
        <f t="shared" si="25"/>
        <v>1</v>
      </c>
      <c r="R113" s="224" t="e">
        <f t="shared" si="32"/>
        <v>#DIV/0!</v>
      </c>
      <c r="S113" s="224">
        <f t="shared" si="26"/>
        <v>1</v>
      </c>
      <c r="T113" s="224">
        <f t="shared" si="29"/>
        <v>1.008255028910354</v>
      </c>
      <c r="U113" s="224">
        <f t="shared" si="30"/>
        <v>1.008255028910354</v>
      </c>
      <c r="V113" s="224" t="e">
        <f t="shared" si="31"/>
        <v>#DIV/0!</v>
      </c>
      <c r="W113" s="224">
        <f t="shared" si="27"/>
        <v>9.3128022573145411E-2</v>
      </c>
    </row>
    <row r="114" spans="1:23">
      <c r="A114" s="216" t="s">
        <v>503</v>
      </c>
      <c r="B114" s="205" t="s">
        <v>290</v>
      </c>
      <c r="C114" s="206">
        <f t="shared" si="22"/>
        <v>4567218000</v>
      </c>
      <c r="D114" s="206">
        <v>72000000</v>
      </c>
      <c r="E114" s="206">
        <v>292824000</v>
      </c>
      <c r="F114" s="206">
        <f t="shared" si="23"/>
        <v>4085107000</v>
      </c>
      <c r="G114" s="206">
        <v>4085107000</v>
      </c>
      <c r="H114" s="206"/>
      <c r="I114" s="206">
        <v>117287000</v>
      </c>
      <c r="J114" s="206">
        <f t="shared" si="24"/>
        <v>4441128000</v>
      </c>
      <c r="K114" s="206">
        <v>63780000</v>
      </c>
      <c r="L114" s="206">
        <v>292824000</v>
      </c>
      <c r="M114" s="206">
        <f t="shared" si="28"/>
        <v>4084524000</v>
      </c>
      <c r="N114" s="206">
        <v>4084524000</v>
      </c>
      <c r="O114" s="206"/>
      <c r="P114" s="206"/>
      <c r="Q114" s="224">
        <f t="shared" si="25"/>
        <v>0.97239238416033569</v>
      </c>
      <c r="R114" s="224">
        <f t="shared" si="32"/>
        <v>0.88583333333333336</v>
      </c>
      <c r="S114" s="224">
        <f t="shared" si="26"/>
        <v>1</v>
      </c>
      <c r="T114" s="224">
        <f t="shared" si="29"/>
        <v>0.99985728647988903</v>
      </c>
      <c r="U114" s="224">
        <f t="shared" si="30"/>
        <v>0.99985728647988903</v>
      </c>
      <c r="V114" s="224" t="e">
        <f t="shared" si="31"/>
        <v>#DIV/0!</v>
      </c>
      <c r="W114" s="224">
        <f t="shared" si="27"/>
        <v>0</v>
      </c>
    </row>
    <row r="115" spans="1:23">
      <c r="A115" s="219" t="s">
        <v>19</v>
      </c>
      <c r="B115" s="220" t="s">
        <v>505</v>
      </c>
      <c r="C115" s="206">
        <f t="shared" si="22"/>
        <v>0</v>
      </c>
      <c r="D115" s="221"/>
      <c r="E115" s="221"/>
      <c r="F115" s="206">
        <f t="shared" si="23"/>
        <v>0</v>
      </c>
      <c r="G115" s="221"/>
      <c r="H115" s="221"/>
      <c r="I115" s="221"/>
      <c r="J115" s="221"/>
      <c r="K115" s="221"/>
      <c r="L115" s="221"/>
      <c r="M115" s="221"/>
      <c r="N115" s="221"/>
      <c r="O115" s="221"/>
      <c r="P115" s="221"/>
      <c r="Q115" s="221"/>
      <c r="R115" s="221"/>
      <c r="S115" s="221"/>
      <c r="T115" s="221"/>
      <c r="U115" s="221"/>
      <c r="V115" s="221"/>
      <c r="W115" s="221"/>
    </row>
    <row r="116" spans="1:23" ht="25.5">
      <c r="A116" s="219" t="s">
        <v>63</v>
      </c>
      <c r="B116" s="220" t="s">
        <v>506</v>
      </c>
      <c r="C116" s="206">
        <f t="shared" ref="C116:C118" si="33">D116+E116+F116+I116</f>
        <v>0</v>
      </c>
      <c r="D116" s="221"/>
      <c r="E116" s="221"/>
      <c r="F116" s="206">
        <f t="shared" ref="F116:F118" si="34">G116+H116</f>
        <v>0</v>
      </c>
      <c r="G116" s="221"/>
      <c r="H116" s="221"/>
      <c r="I116" s="221"/>
      <c r="J116" s="221"/>
      <c r="K116" s="221"/>
      <c r="L116" s="221"/>
      <c r="M116" s="221"/>
      <c r="N116" s="221"/>
      <c r="O116" s="221"/>
      <c r="P116" s="221"/>
      <c r="Q116" s="221"/>
      <c r="R116" s="221"/>
      <c r="S116" s="221"/>
      <c r="T116" s="221"/>
      <c r="U116" s="221"/>
      <c r="V116" s="221"/>
      <c r="W116" s="221"/>
    </row>
    <row r="117" spans="1:23" ht="25.5">
      <c r="A117" s="219" t="s">
        <v>64</v>
      </c>
      <c r="B117" s="220" t="s">
        <v>508</v>
      </c>
      <c r="C117" s="206">
        <f t="shared" si="33"/>
        <v>0</v>
      </c>
      <c r="D117" s="221"/>
      <c r="E117" s="221"/>
      <c r="F117" s="206">
        <f t="shared" si="34"/>
        <v>0</v>
      </c>
      <c r="G117" s="221"/>
      <c r="H117" s="221"/>
      <c r="I117" s="221"/>
      <c r="J117" s="221"/>
      <c r="K117" s="221"/>
      <c r="L117" s="221"/>
      <c r="M117" s="221"/>
      <c r="N117" s="221"/>
      <c r="O117" s="221"/>
      <c r="P117" s="221"/>
      <c r="Q117" s="221"/>
      <c r="R117" s="221"/>
      <c r="S117" s="221"/>
      <c r="T117" s="221"/>
      <c r="U117" s="221"/>
      <c r="V117" s="221"/>
      <c r="W117" s="221"/>
    </row>
    <row r="118" spans="1:23" ht="25.5">
      <c r="A118" s="219" t="s">
        <v>22</v>
      </c>
      <c r="B118" s="220" t="s">
        <v>507</v>
      </c>
      <c r="C118" s="206">
        <f t="shared" si="33"/>
        <v>0</v>
      </c>
      <c r="D118" s="221"/>
      <c r="E118" s="221"/>
      <c r="F118" s="206">
        <f t="shared" si="34"/>
        <v>0</v>
      </c>
      <c r="G118" s="221"/>
      <c r="H118" s="221"/>
      <c r="I118" s="221"/>
      <c r="J118" s="221"/>
      <c r="K118" s="221"/>
      <c r="L118" s="221"/>
      <c r="M118" s="221"/>
      <c r="N118" s="221"/>
      <c r="O118" s="221"/>
      <c r="P118" s="221"/>
      <c r="Q118" s="221"/>
      <c r="R118" s="221"/>
      <c r="S118" s="221"/>
      <c r="T118" s="221"/>
      <c r="U118" s="221"/>
      <c r="V118" s="221"/>
      <c r="W118" s="221"/>
    </row>
    <row r="119" spans="1:23">
      <c r="A119" s="222"/>
      <c r="B119" s="207"/>
      <c r="C119" s="208"/>
      <c r="D119" s="208"/>
      <c r="E119" s="208"/>
      <c r="F119" s="208"/>
      <c r="G119" s="208"/>
      <c r="H119" s="208"/>
      <c r="I119" s="208"/>
      <c r="J119" s="208"/>
      <c r="K119" s="208"/>
      <c r="L119" s="208"/>
      <c r="M119" s="208"/>
      <c r="N119" s="208"/>
      <c r="O119" s="208"/>
      <c r="P119" s="208"/>
      <c r="Q119" s="208"/>
      <c r="R119" s="208"/>
      <c r="S119" s="208"/>
      <c r="T119" s="208"/>
      <c r="U119" s="208"/>
      <c r="V119" s="208"/>
      <c r="W119" s="208"/>
    </row>
    <row r="120" spans="1:23">
      <c r="A120" s="225"/>
      <c r="B120" s="226"/>
      <c r="C120" s="227"/>
      <c r="D120" s="227"/>
      <c r="E120" s="227"/>
      <c r="F120" s="227"/>
      <c r="G120" s="227"/>
      <c r="H120" s="227"/>
      <c r="I120" s="227"/>
      <c r="J120" s="227"/>
      <c r="K120" s="227"/>
      <c r="L120" s="227"/>
      <c r="M120" s="227"/>
      <c r="N120" s="227"/>
      <c r="O120" s="227"/>
      <c r="P120" s="227"/>
      <c r="Q120" s="227"/>
      <c r="R120" s="227"/>
      <c r="S120" s="227"/>
      <c r="T120" s="227"/>
      <c r="U120" s="227"/>
      <c r="V120" s="227"/>
      <c r="W120" s="227"/>
    </row>
    <row r="121" spans="1:23">
      <c r="A121" s="339" t="s">
        <v>112</v>
      </c>
      <c r="B121" s="339"/>
      <c r="C121" s="339"/>
      <c r="D121" s="339"/>
      <c r="E121" s="339"/>
      <c r="F121" s="339"/>
      <c r="G121" s="339"/>
      <c r="H121" s="339"/>
      <c r="I121" s="339"/>
      <c r="J121" s="339"/>
      <c r="K121" s="339"/>
      <c r="L121" s="339"/>
      <c r="M121" s="339"/>
      <c r="N121" s="339"/>
      <c r="O121" s="339"/>
      <c r="P121" s="339"/>
      <c r="Q121" s="339"/>
      <c r="R121" s="339"/>
      <c r="S121" s="339"/>
      <c r="T121" s="339"/>
      <c r="U121" s="339"/>
      <c r="V121" s="339"/>
      <c r="W121" s="339"/>
    </row>
    <row r="122" spans="1:23">
      <c r="A122" s="340" t="s">
        <v>113</v>
      </c>
      <c r="B122" s="340"/>
      <c r="C122" s="340"/>
      <c r="D122" s="340"/>
      <c r="E122" s="340"/>
      <c r="F122" s="340"/>
      <c r="G122" s="340"/>
      <c r="H122" s="340"/>
      <c r="I122" s="340"/>
      <c r="J122" s="340"/>
      <c r="K122" s="340"/>
      <c r="L122" s="340"/>
      <c r="M122" s="340"/>
      <c r="N122" s="340"/>
      <c r="O122" s="340"/>
      <c r="P122" s="340"/>
      <c r="Q122" s="340"/>
      <c r="R122" s="340"/>
      <c r="S122" s="340"/>
      <c r="T122" s="340"/>
      <c r="U122" s="340"/>
      <c r="V122" s="340"/>
      <c r="W122" s="340"/>
    </row>
    <row r="123" spans="1:23">
      <c r="A123" s="340" t="s">
        <v>114</v>
      </c>
      <c r="B123" s="340"/>
      <c r="C123" s="340"/>
      <c r="D123" s="340"/>
      <c r="E123" s="340"/>
      <c r="F123" s="340"/>
      <c r="G123" s="340"/>
      <c r="H123" s="340"/>
      <c r="I123" s="340"/>
      <c r="J123" s="340"/>
      <c r="K123" s="340"/>
      <c r="L123" s="340"/>
      <c r="M123" s="340"/>
      <c r="N123" s="340"/>
      <c r="O123" s="340"/>
      <c r="P123" s="340"/>
      <c r="Q123" s="340"/>
      <c r="R123" s="340"/>
      <c r="S123" s="340"/>
      <c r="T123" s="340"/>
      <c r="U123" s="340"/>
      <c r="V123" s="340"/>
      <c r="W123" s="340"/>
    </row>
  </sheetData>
  <mergeCells count="35">
    <mergeCell ref="A123:W123"/>
    <mergeCell ref="V7:V8"/>
    <mergeCell ref="J6:J8"/>
    <mergeCell ref="K6:K8"/>
    <mergeCell ref="L6:L8"/>
    <mergeCell ref="M6:O6"/>
    <mergeCell ref="T6:V6"/>
    <mergeCell ref="W6:W8"/>
    <mergeCell ref="F7:F8"/>
    <mergeCell ref="G7:G8"/>
    <mergeCell ref="H7:H8"/>
    <mergeCell ref="M7:M8"/>
    <mergeCell ref="N7:N8"/>
    <mergeCell ref="P6:P8"/>
    <mergeCell ref="S6:S8"/>
    <mergeCell ref="T7:T8"/>
    <mergeCell ref="A121:W121"/>
    <mergeCell ref="A122:W122"/>
    <mergeCell ref="A2:W2"/>
    <mergeCell ref="A3:W3"/>
    <mergeCell ref="A5:A8"/>
    <mergeCell ref="B5:B8"/>
    <mergeCell ref="C5:I5"/>
    <mergeCell ref="J5:P5"/>
    <mergeCell ref="Q5:W5"/>
    <mergeCell ref="C6:C8"/>
    <mergeCell ref="D6:D8"/>
    <mergeCell ref="E6:E8"/>
    <mergeCell ref="F6:H6"/>
    <mergeCell ref="O7:O8"/>
    <mergeCell ref="U7:U8"/>
    <mergeCell ref="Q6:Q8"/>
    <mergeCell ref="R6:R8"/>
    <mergeCell ref="V4:W4"/>
    <mergeCell ref="I6:I8"/>
  </mergeCells>
  <pageMargins left="0.68" right="0.16" top="0.75" bottom="0.75" header="0.3" footer="0.3"/>
  <pageSetup paperSize="9" scale="70" firstPageNumber="3" orientation="landscape" verticalDpi="0" r:id="rId1"/>
  <headerFooter>
    <oddFooter>&amp;C&amp;P/&amp;N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7"/>
  <sheetViews>
    <sheetView showGridLines="0" topLeftCell="A6" workbookViewId="0">
      <selection activeCell="G17" sqref="G17"/>
    </sheetView>
  </sheetViews>
  <sheetFormatPr defaultRowHeight="15"/>
  <cols>
    <col min="1" max="1" width="5.140625" style="228" customWidth="1"/>
    <col min="2" max="2" width="19.7109375" style="228" customWidth="1"/>
    <col min="3" max="3" width="16.85546875" style="228" customWidth="1"/>
    <col min="4" max="4" width="15.85546875" style="228" customWidth="1"/>
    <col min="5" max="6" width="16" style="228" customWidth="1"/>
    <col min="7" max="7" width="16.5703125" style="228" customWidth="1"/>
    <col min="8" max="8" width="15" style="228" customWidth="1"/>
    <col min="9" max="9" width="11" style="228" customWidth="1"/>
    <col min="10" max="10" width="10.7109375" style="228" customWidth="1"/>
    <col min="11" max="11" width="15.85546875" style="228" customWidth="1"/>
    <col min="12" max="12" width="12.85546875" style="228" customWidth="1"/>
    <col min="13" max="13" width="9.28515625" style="228" customWidth="1"/>
    <col min="14" max="14" width="14.85546875" style="228" customWidth="1"/>
    <col min="15" max="15" width="8.5703125" style="228" customWidth="1"/>
    <col min="16" max="16" width="14.28515625" style="228" bestFit="1" customWidth="1"/>
    <col min="17" max="17" width="15.28515625" style="228" customWidth="1"/>
    <col min="18" max="18" width="8.28515625" style="228" customWidth="1"/>
    <col min="19" max="19" width="9.28515625" style="228" customWidth="1"/>
    <col min="20" max="20" width="8.5703125" style="228" customWidth="1"/>
    <col min="21" max="21" width="8.42578125" style="228" customWidth="1"/>
    <col min="22" max="16384" width="9.140625" style="228"/>
  </cols>
  <sheetData>
    <row r="1" spans="1:21">
      <c r="A1" s="251" t="s">
        <v>119</v>
      </c>
      <c r="B1" s="250"/>
      <c r="C1" s="250"/>
      <c r="D1" s="250"/>
      <c r="E1" s="250"/>
      <c r="F1" s="250"/>
      <c r="G1" s="250"/>
      <c r="H1" s="250"/>
      <c r="I1" s="250"/>
      <c r="J1" s="250"/>
      <c r="K1" s="250"/>
      <c r="L1" s="250"/>
      <c r="M1" s="250"/>
      <c r="N1" s="250"/>
      <c r="O1" s="250"/>
      <c r="P1" s="250"/>
      <c r="Q1" s="250"/>
      <c r="R1" s="250"/>
      <c r="S1" s="250"/>
      <c r="T1" s="250"/>
      <c r="U1" s="250"/>
    </row>
    <row r="2" spans="1:21" ht="19.5" customHeight="1">
      <c r="B2" s="279"/>
      <c r="C2" s="343" t="s">
        <v>515</v>
      </c>
      <c r="D2" s="343"/>
      <c r="E2" s="343"/>
      <c r="F2" s="343"/>
      <c r="G2" s="343"/>
      <c r="H2" s="343"/>
      <c r="I2" s="343"/>
      <c r="J2" s="343"/>
      <c r="K2" s="279"/>
      <c r="L2" s="343" t="s">
        <v>515</v>
      </c>
      <c r="M2" s="343"/>
      <c r="N2" s="343"/>
      <c r="O2" s="343"/>
      <c r="P2" s="343"/>
      <c r="Q2" s="343"/>
      <c r="R2" s="343"/>
      <c r="S2" s="343"/>
      <c r="T2" s="343"/>
      <c r="U2" s="343"/>
    </row>
    <row r="3" spans="1:21" ht="18.75" customHeight="1">
      <c r="B3" s="280"/>
      <c r="C3" s="344" t="s">
        <v>67</v>
      </c>
      <c r="D3" s="344"/>
      <c r="E3" s="344"/>
      <c r="F3" s="344"/>
      <c r="G3" s="344"/>
      <c r="H3" s="344"/>
      <c r="I3" s="344"/>
      <c r="J3" s="344"/>
      <c r="K3" s="280"/>
      <c r="L3" s="344" t="s">
        <v>67</v>
      </c>
      <c r="M3" s="344"/>
      <c r="N3" s="344"/>
      <c r="O3" s="344"/>
      <c r="P3" s="344"/>
      <c r="Q3" s="344"/>
      <c r="R3" s="344"/>
      <c r="S3" s="344"/>
      <c r="T3" s="344"/>
      <c r="U3" s="344"/>
    </row>
    <row r="4" spans="1:21">
      <c r="A4" s="265" t="s">
        <v>0</v>
      </c>
      <c r="B4" s="265"/>
      <c r="C4" s="265"/>
      <c r="D4" s="265"/>
      <c r="E4" s="265"/>
      <c r="F4" s="265"/>
      <c r="G4" s="265"/>
      <c r="H4" s="265"/>
      <c r="I4" s="265"/>
      <c r="J4" s="265"/>
      <c r="K4" s="265"/>
      <c r="L4" s="265"/>
      <c r="M4" s="265"/>
      <c r="N4" s="265"/>
      <c r="O4" s="265"/>
      <c r="P4" s="265"/>
      <c r="Q4" s="265"/>
      <c r="R4" s="265"/>
      <c r="S4" s="346" t="s">
        <v>3</v>
      </c>
      <c r="T4" s="346"/>
      <c r="U4" s="346"/>
    </row>
    <row r="5" spans="1:21" ht="15" customHeight="1">
      <c r="B5" s="264"/>
      <c r="C5" s="264"/>
      <c r="D5" s="264"/>
      <c r="E5" s="264"/>
      <c r="F5" s="264"/>
      <c r="G5" s="264"/>
      <c r="H5" s="264"/>
      <c r="I5" s="264"/>
      <c r="J5" s="264"/>
      <c r="K5" s="264"/>
      <c r="L5" s="264"/>
      <c r="M5" s="264"/>
      <c r="N5" s="264"/>
      <c r="O5" s="264"/>
      <c r="P5" s="264"/>
      <c r="Q5" s="264"/>
      <c r="S5" s="347"/>
      <c r="T5" s="347"/>
      <c r="U5" s="347"/>
    </row>
    <row r="6" spans="1:21" ht="18.75" customHeight="1">
      <c r="A6" s="345" t="s">
        <v>182</v>
      </c>
      <c r="B6" s="345" t="s">
        <v>516</v>
      </c>
      <c r="C6" s="345" t="s">
        <v>518</v>
      </c>
      <c r="D6" s="345"/>
      <c r="E6" s="345"/>
      <c r="F6" s="345"/>
      <c r="G6" s="345" t="s">
        <v>121</v>
      </c>
      <c r="H6" s="345"/>
      <c r="I6" s="345"/>
      <c r="J6" s="345"/>
      <c r="K6" s="345"/>
      <c r="L6" s="345"/>
      <c r="M6" s="345"/>
      <c r="N6" s="345"/>
      <c r="O6" s="345"/>
      <c r="P6" s="345"/>
      <c r="Q6" s="345"/>
      <c r="R6" s="345" t="s">
        <v>8</v>
      </c>
      <c r="S6" s="345"/>
      <c r="T6" s="345"/>
      <c r="U6" s="345"/>
    </row>
    <row r="7" spans="1:21" ht="18.75" customHeight="1">
      <c r="A7" s="345"/>
      <c r="B7" s="345"/>
      <c r="C7" s="345" t="s">
        <v>78</v>
      </c>
      <c r="D7" s="345" t="s">
        <v>12</v>
      </c>
      <c r="E7" s="345" t="s">
        <v>20</v>
      </c>
      <c r="F7" s="345" t="s">
        <v>122</v>
      </c>
      <c r="G7" s="345" t="s">
        <v>78</v>
      </c>
      <c r="H7" s="345" t="s">
        <v>12</v>
      </c>
      <c r="I7" s="345"/>
      <c r="J7" s="345"/>
      <c r="K7" s="345" t="s">
        <v>20</v>
      </c>
      <c r="L7" s="345"/>
      <c r="M7" s="345"/>
      <c r="N7" s="345" t="s">
        <v>122</v>
      </c>
      <c r="O7" s="345"/>
      <c r="P7" s="345"/>
      <c r="Q7" s="345" t="s">
        <v>123</v>
      </c>
      <c r="R7" s="345" t="s">
        <v>78</v>
      </c>
      <c r="S7" s="345" t="s">
        <v>12</v>
      </c>
      <c r="T7" s="345" t="s">
        <v>20</v>
      </c>
      <c r="U7" s="345" t="s">
        <v>528</v>
      </c>
    </row>
    <row r="8" spans="1:21" ht="18.75" customHeight="1">
      <c r="A8" s="345"/>
      <c r="B8" s="345"/>
      <c r="C8" s="345"/>
      <c r="D8" s="345"/>
      <c r="E8" s="345"/>
      <c r="F8" s="345"/>
      <c r="G8" s="345"/>
      <c r="H8" s="345" t="s">
        <v>78</v>
      </c>
      <c r="I8" s="345" t="s">
        <v>115</v>
      </c>
      <c r="J8" s="345"/>
      <c r="K8" s="345" t="s">
        <v>78</v>
      </c>
      <c r="L8" s="345" t="s">
        <v>115</v>
      </c>
      <c r="M8" s="345"/>
      <c r="N8" s="345" t="s">
        <v>78</v>
      </c>
      <c r="O8" s="345" t="s">
        <v>115</v>
      </c>
      <c r="P8" s="345"/>
      <c r="Q8" s="345"/>
      <c r="R8" s="345"/>
      <c r="S8" s="345"/>
      <c r="T8" s="345"/>
      <c r="U8" s="345"/>
    </row>
    <row r="9" spans="1:21" ht="75">
      <c r="A9" s="345"/>
      <c r="B9" s="345"/>
      <c r="C9" s="345"/>
      <c r="D9" s="345"/>
      <c r="E9" s="345"/>
      <c r="F9" s="345"/>
      <c r="G9" s="345"/>
      <c r="H9" s="345"/>
      <c r="I9" s="229" t="s">
        <v>124</v>
      </c>
      <c r="J9" s="229" t="s">
        <v>17</v>
      </c>
      <c r="K9" s="345"/>
      <c r="L9" s="229" t="s">
        <v>124</v>
      </c>
      <c r="M9" s="229" t="s">
        <v>17</v>
      </c>
      <c r="N9" s="345"/>
      <c r="O9" s="229" t="s">
        <v>12</v>
      </c>
      <c r="P9" s="229" t="s">
        <v>20</v>
      </c>
      <c r="Q9" s="345"/>
      <c r="R9" s="345"/>
      <c r="S9" s="345"/>
      <c r="T9" s="345"/>
      <c r="U9" s="345"/>
    </row>
    <row r="10" spans="1:21">
      <c r="A10" s="304" t="s">
        <v>9</v>
      </c>
      <c r="B10" s="304" t="s">
        <v>26</v>
      </c>
      <c r="C10" s="305" t="s">
        <v>13</v>
      </c>
      <c r="D10" s="305" t="s">
        <v>21</v>
      </c>
      <c r="E10" s="305" t="s">
        <v>30</v>
      </c>
      <c r="F10" s="305" t="s">
        <v>31</v>
      </c>
      <c r="G10" s="305" t="s">
        <v>32</v>
      </c>
      <c r="H10" s="305" t="s">
        <v>33</v>
      </c>
      <c r="I10" s="305" t="s">
        <v>34</v>
      </c>
      <c r="J10" s="305" t="s">
        <v>35</v>
      </c>
      <c r="K10" s="305" t="s">
        <v>36</v>
      </c>
      <c r="L10" s="305" t="s">
        <v>37</v>
      </c>
      <c r="M10" s="305" t="s">
        <v>38</v>
      </c>
      <c r="N10" s="305" t="s">
        <v>39</v>
      </c>
      <c r="O10" s="305" t="s">
        <v>40</v>
      </c>
      <c r="P10" s="305" t="s">
        <v>41</v>
      </c>
      <c r="Q10" s="305" t="s">
        <v>42</v>
      </c>
      <c r="R10" s="305" t="s">
        <v>525</v>
      </c>
      <c r="S10" s="305" t="s">
        <v>526</v>
      </c>
      <c r="T10" s="305" t="s">
        <v>527</v>
      </c>
      <c r="U10" s="305" t="s">
        <v>527</v>
      </c>
    </row>
    <row r="11" spans="1:21" s="214" customFormat="1" ht="23.25" customHeight="1">
      <c r="A11" s="239"/>
      <c r="B11" s="240" t="s">
        <v>125</v>
      </c>
      <c r="C11" s="241">
        <f t="shared" ref="C11:F11" si="0">SUM(C12:C23)</f>
        <v>72593303765</v>
      </c>
      <c r="D11" s="241">
        <f t="shared" si="0"/>
        <v>1739610043</v>
      </c>
      <c r="E11" s="241">
        <f t="shared" si="0"/>
        <v>63001693722</v>
      </c>
      <c r="F11" s="241">
        <f t="shared" si="0"/>
        <v>7852000000</v>
      </c>
      <c r="G11" s="241">
        <f>SUM(G12:G23)</f>
        <v>72079808617</v>
      </c>
      <c r="H11" s="241">
        <f t="shared" ref="H11:Q11" si="1">SUM(H12:H23)</f>
        <v>1721024699</v>
      </c>
      <c r="I11" s="241">
        <f t="shared" si="1"/>
        <v>0</v>
      </c>
      <c r="J11" s="241">
        <f t="shared" si="1"/>
        <v>0</v>
      </c>
      <c r="K11" s="241">
        <f>SUM(K12:K23)</f>
        <v>55915883476</v>
      </c>
      <c r="L11" s="241">
        <f t="shared" si="1"/>
        <v>33100000</v>
      </c>
      <c r="M11" s="241">
        <f t="shared" si="1"/>
        <v>0</v>
      </c>
      <c r="N11" s="241">
        <f t="shared" si="1"/>
        <v>7779899907</v>
      </c>
      <c r="O11" s="241">
        <f t="shared" si="1"/>
        <v>0</v>
      </c>
      <c r="P11" s="241">
        <f t="shared" si="1"/>
        <v>7779899907</v>
      </c>
      <c r="Q11" s="241">
        <f t="shared" si="1"/>
        <v>6663000535</v>
      </c>
      <c r="R11" s="247">
        <f>G11/C11</f>
        <v>0.99292641164724649</v>
      </c>
      <c r="S11" s="247">
        <f>H11/D11</f>
        <v>0.98931637347416712</v>
      </c>
      <c r="T11" s="247">
        <f>K11/E11</f>
        <v>0.8875298451932625</v>
      </c>
      <c r="U11" s="247">
        <f>N11/F11</f>
        <v>0.99081761423841064</v>
      </c>
    </row>
    <row r="12" spans="1:21" ht="21.95" customHeight="1">
      <c r="A12" s="230" t="s">
        <v>13</v>
      </c>
      <c r="B12" s="231" t="s">
        <v>517</v>
      </c>
      <c r="C12" s="232">
        <f>SUM(D12:F12)</f>
        <v>5506192690</v>
      </c>
      <c r="D12" s="232">
        <v>5000000</v>
      </c>
      <c r="E12" s="232">
        <v>4867192690</v>
      </c>
      <c r="F12" s="232">
        <v>634000000</v>
      </c>
      <c r="G12" s="232">
        <f>H12+K12+N12+Q12</f>
        <v>5640389567</v>
      </c>
      <c r="H12" s="232">
        <v>0</v>
      </c>
      <c r="I12" s="232">
        <v>0</v>
      </c>
      <c r="J12" s="232">
        <v>0</v>
      </c>
      <c r="K12" s="232">
        <v>4263243032</v>
      </c>
      <c r="L12" s="232">
        <v>3100000</v>
      </c>
      <c r="M12" s="232">
        <v>0</v>
      </c>
      <c r="N12" s="232">
        <f>O12+P12</f>
        <v>631812000</v>
      </c>
      <c r="O12" s="232">
        <v>0</v>
      </c>
      <c r="P12" s="232">
        <v>631812000</v>
      </c>
      <c r="Q12" s="232">
        <v>745334535</v>
      </c>
      <c r="R12" s="248">
        <f>G12/C12</f>
        <v>1.0243719906939908</v>
      </c>
      <c r="S12" s="248">
        <f>H12/D12</f>
        <v>0</v>
      </c>
      <c r="T12" s="248">
        <f>K12/E12</f>
        <v>0.87591416726918203</v>
      </c>
      <c r="U12" s="248">
        <f>N12/F12</f>
        <v>0.9965488958990536</v>
      </c>
    </row>
    <row r="13" spans="1:21" ht="21.95" customHeight="1">
      <c r="A13" s="230" t="s">
        <v>21</v>
      </c>
      <c r="B13" s="231" t="s">
        <v>284</v>
      </c>
      <c r="C13" s="232">
        <f t="shared" ref="C13:C23" si="2">SUM(D13:F13)</f>
        <v>4494735707</v>
      </c>
      <c r="D13" s="232">
        <v>500000</v>
      </c>
      <c r="E13" s="232">
        <v>3878235707</v>
      </c>
      <c r="F13" s="232">
        <v>616000000</v>
      </c>
      <c r="G13" s="232">
        <f t="shared" ref="G13:G22" si="3">H13+K13+N13+Q13</f>
        <v>4460916422</v>
      </c>
      <c r="H13" s="232">
        <v>0</v>
      </c>
      <c r="I13" s="232">
        <v>0</v>
      </c>
      <c r="J13" s="232">
        <v>0</v>
      </c>
      <c r="K13" s="232">
        <v>3590500570</v>
      </c>
      <c r="L13" s="232">
        <v>1200000</v>
      </c>
      <c r="M13" s="232">
        <v>0</v>
      </c>
      <c r="N13" s="232">
        <f t="shared" ref="N13:N23" si="4">O13+P13</f>
        <v>614252000</v>
      </c>
      <c r="O13" s="232">
        <v>0</v>
      </c>
      <c r="P13" s="232">
        <v>614252000</v>
      </c>
      <c r="Q13" s="232">
        <v>256163852</v>
      </c>
      <c r="R13" s="248">
        <f t="shared" ref="R13:R23" si="5">G13/C13</f>
        <v>0.99247580120287593</v>
      </c>
      <c r="S13" s="248">
        <f t="shared" ref="S13:S23" si="6">H13/D13</f>
        <v>0</v>
      </c>
      <c r="T13" s="248">
        <f t="shared" ref="T13:T23" si="7">K13/E13</f>
        <v>0.92580772321789151</v>
      </c>
      <c r="U13" s="248">
        <f t="shared" ref="U13:U23" si="8">N13/F13</f>
        <v>0.99716233766233764</v>
      </c>
    </row>
    <row r="14" spans="1:21" ht="21.95" customHeight="1">
      <c r="A14" s="230" t="s">
        <v>30</v>
      </c>
      <c r="B14" s="231" t="s">
        <v>291</v>
      </c>
      <c r="C14" s="232">
        <f t="shared" si="2"/>
        <v>7903122774</v>
      </c>
      <c r="D14" s="232">
        <v>3000000</v>
      </c>
      <c r="E14" s="232">
        <v>6948122774</v>
      </c>
      <c r="F14" s="232">
        <v>952000000</v>
      </c>
      <c r="G14" s="232">
        <f t="shared" si="3"/>
        <v>8062248129</v>
      </c>
      <c r="H14" s="232">
        <v>0</v>
      </c>
      <c r="I14" s="232">
        <v>0</v>
      </c>
      <c r="J14" s="232">
        <v>0</v>
      </c>
      <c r="K14" s="232">
        <v>5637756475</v>
      </c>
      <c r="L14" s="232">
        <v>2500000</v>
      </c>
      <c r="M14" s="232">
        <v>0</v>
      </c>
      <c r="N14" s="232">
        <f t="shared" si="4"/>
        <v>936657600</v>
      </c>
      <c r="O14" s="232">
        <v>0</v>
      </c>
      <c r="P14" s="232">
        <v>936657600</v>
      </c>
      <c r="Q14" s="232">
        <v>1487834054</v>
      </c>
      <c r="R14" s="248">
        <f t="shared" si="5"/>
        <v>1.0201344910803483</v>
      </c>
      <c r="S14" s="248">
        <f t="shared" si="6"/>
        <v>0</v>
      </c>
      <c r="T14" s="248">
        <f t="shared" si="7"/>
        <v>0.81140714670393932</v>
      </c>
      <c r="U14" s="248">
        <f t="shared" si="8"/>
        <v>0.98388403361344534</v>
      </c>
    </row>
    <row r="15" spans="1:21" ht="21.95" customHeight="1">
      <c r="A15" s="230" t="s">
        <v>31</v>
      </c>
      <c r="B15" s="231" t="s">
        <v>282</v>
      </c>
      <c r="C15" s="232">
        <f t="shared" si="2"/>
        <v>6129344560</v>
      </c>
      <c r="D15" s="232">
        <v>311206705</v>
      </c>
      <c r="E15" s="232">
        <v>5610137855</v>
      </c>
      <c r="F15" s="232">
        <v>208000000</v>
      </c>
      <c r="G15" s="232">
        <f t="shared" si="3"/>
        <v>5948416160</v>
      </c>
      <c r="H15" s="232">
        <v>311206705</v>
      </c>
      <c r="I15" s="232">
        <v>0</v>
      </c>
      <c r="J15" s="232">
        <v>0</v>
      </c>
      <c r="K15" s="232">
        <v>4691850266</v>
      </c>
      <c r="L15" s="232">
        <v>3000000</v>
      </c>
      <c r="M15" s="232">
        <v>0</v>
      </c>
      <c r="N15" s="232">
        <f t="shared" si="4"/>
        <v>207976500</v>
      </c>
      <c r="O15" s="232">
        <v>0</v>
      </c>
      <c r="P15" s="232">
        <v>207976500</v>
      </c>
      <c r="Q15" s="232">
        <v>737382689</v>
      </c>
      <c r="R15" s="248">
        <f t="shared" si="5"/>
        <v>0.97048160725361476</v>
      </c>
      <c r="S15" s="248">
        <f t="shared" si="6"/>
        <v>1</v>
      </c>
      <c r="T15" s="248">
        <f t="shared" si="7"/>
        <v>0.83631639493821319</v>
      </c>
      <c r="U15" s="248">
        <f t="shared" si="8"/>
        <v>0.99988701923076928</v>
      </c>
    </row>
    <row r="16" spans="1:21" ht="21.95" customHeight="1">
      <c r="A16" s="230" t="s">
        <v>32</v>
      </c>
      <c r="B16" s="231" t="s">
        <v>286</v>
      </c>
      <c r="C16" s="232">
        <f t="shared" si="2"/>
        <v>6949558572</v>
      </c>
      <c r="D16" s="232">
        <v>801725638</v>
      </c>
      <c r="E16" s="232">
        <v>5744832934</v>
      </c>
      <c r="F16" s="232">
        <v>403000000</v>
      </c>
      <c r="G16" s="232">
        <f t="shared" si="3"/>
        <v>6444632672</v>
      </c>
      <c r="H16" s="232">
        <v>801725638</v>
      </c>
      <c r="I16" s="232">
        <v>0</v>
      </c>
      <c r="J16" s="232">
        <v>0</v>
      </c>
      <c r="K16" s="232">
        <v>4912574150</v>
      </c>
      <c r="L16" s="232">
        <v>5000000</v>
      </c>
      <c r="M16" s="232">
        <v>0</v>
      </c>
      <c r="N16" s="232">
        <f t="shared" si="4"/>
        <v>397100000</v>
      </c>
      <c r="O16" s="232">
        <v>0</v>
      </c>
      <c r="P16" s="232">
        <v>397100000</v>
      </c>
      <c r="Q16" s="232">
        <v>333232884</v>
      </c>
      <c r="R16" s="248">
        <f t="shared" si="5"/>
        <v>0.92734417664535373</v>
      </c>
      <c r="S16" s="248">
        <f t="shared" si="6"/>
        <v>1</v>
      </c>
      <c r="T16" s="248">
        <f t="shared" si="7"/>
        <v>0.85512915805185707</v>
      </c>
      <c r="U16" s="248">
        <f t="shared" si="8"/>
        <v>0.98535980148883373</v>
      </c>
    </row>
    <row r="17" spans="1:21" ht="21.95" customHeight="1">
      <c r="A17" s="230" t="s">
        <v>33</v>
      </c>
      <c r="B17" s="231" t="s">
        <v>285</v>
      </c>
      <c r="C17" s="232">
        <f t="shared" si="2"/>
        <v>6462544411</v>
      </c>
      <c r="D17" s="232">
        <v>500000</v>
      </c>
      <c r="E17" s="232">
        <v>5828044411</v>
      </c>
      <c r="F17" s="232">
        <v>634000000</v>
      </c>
      <c r="G17" s="232">
        <f t="shared" si="3"/>
        <v>6471089745</v>
      </c>
      <c r="H17" s="232">
        <v>0</v>
      </c>
      <c r="I17" s="232">
        <v>0</v>
      </c>
      <c r="J17" s="232">
        <v>0</v>
      </c>
      <c r="K17" s="232">
        <v>5596403724</v>
      </c>
      <c r="L17" s="232">
        <v>1300000</v>
      </c>
      <c r="M17" s="232">
        <v>0</v>
      </c>
      <c r="N17" s="232">
        <f t="shared" si="4"/>
        <v>632665000</v>
      </c>
      <c r="O17" s="232">
        <v>0</v>
      </c>
      <c r="P17" s="232">
        <v>632665000</v>
      </c>
      <c r="Q17" s="232">
        <v>242021021</v>
      </c>
      <c r="R17" s="248">
        <f t="shared" si="5"/>
        <v>1.0013222863096236</v>
      </c>
      <c r="S17" s="248">
        <f t="shared" si="6"/>
        <v>0</v>
      </c>
      <c r="T17" s="248">
        <f t="shared" si="7"/>
        <v>0.96025413146083871</v>
      </c>
      <c r="U17" s="248">
        <f t="shared" si="8"/>
        <v>0.99789432176656157</v>
      </c>
    </row>
    <row r="18" spans="1:21" ht="21.95" customHeight="1">
      <c r="A18" s="230" t="s">
        <v>34</v>
      </c>
      <c r="B18" s="231" t="s">
        <v>283</v>
      </c>
      <c r="C18" s="232">
        <f t="shared" si="2"/>
        <v>5866138905</v>
      </c>
      <c r="D18" s="232">
        <v>500000</v>
      </c>
      <c r="E18" s="232">
        <v>5240638905</v>
      </c>
      <c r="F18" s="232">
        <v>625000000</v>
      </c>
      <c r="G18" s="232">
        <f t="shared" si="3"/>
        <v>5842526923</v>
      </c>
      <c r="H18" s="232">
        <v>0</v>
      </c>
      <c r="I18" s="232">
        <v>0</v>
      </c>
      <c r="J18" s="232">
        <v>0</v>
      </c>
      <c r="K18" s="232">
        <v>4719682641</v>
      </c>
      <c r="L18" s="232">
        <v>1800000</v>
      </c>
      <c r="M18" s="232">
        <v>0</v>
      </c>
      <c r="N18" s="232">
        <f t="shared" si="4"/>
        <v>624999000</v>
      </c>
      <c r="O18" s="232">
        <v>0</v>
      </c>
      <c r="P18" s="232">
        <v>624999000</v>
      </c>
      <c r="Q18" s="232">
        <v>497845282</v>
      </c>
      <c r="R18" s="248">
        <f t="shared" si="5"/>
        <v>0.99597486824257186</v>
      </c>
      <c r="S18" s="248">
        <f t="shared" si="6"/>
        <v>0</v>
      </c>
      <c r="T18" s="248">
        <f t="shared" si="7"/>
        <v>0.90059298619048811</v>
      </c>
      <c r="U18" s="248">
        <f t="shared" si="8"/>
        <v>0.99999839999999995</v>
      </c>
    </row>
    <row r="19" spans="1:21" ht="21.95" customHeight="1">
      <c r="A19" s="230" t="s">
        <v>35</v>
      </c>
      <c r="B19" s="231" t="s">
        <v>289</v>
      </c>
      <c r="C19" s="232">
        <f t="shared" si="2"/>
        <v>6228381481</v>
      </c>
      <c r="D19" s="232">
        <v>500000</v>
      </c>
      <c r="E19" s="232">
        <v>5533881481</v>
      </c>
      <c r="F19" s="232">
        <v>694000000</v>
      </c>
      <c r="G19" s="232">
        <f t="shared" si="3"/>
        <v>6234476625</v>
      </c>
      <c r="H19" s="232">
        <v>0</v>
      </c>
      <c r="I19" s="232">
        <v>0</v>
      </c>
      <c r="J19" s="232">
        <v>0</v>
      </c>
      <c r="K19" s="232">
        <v>5117798095</v>
      </c>
      <c r="L19" s="232">
        <v>2200000</v>
      </c>
      <c r="M19" s="232">
        <v>0</v>
      </c>
      <c r="N19" s="232">
        <f t="shared" si="4"/>
        <v>693359200</v>
      </c>
      <c r="O19" s="232">
        <v>0</v>
      </c>
      <c r="P19" s="232">
        <v>693359200</v>
      </c>
      <c r="Q19" s="232">
        <v>423319330</v>
      </c>
      <c r="R19" s="248">
        <f t="shared" si="5"/>
        <v>1.0009786080089336</v>
      </c>
      <c r="S19" s="248">
        <f t="shared" si="6"/>
        <v>0</v>
      </c>
      <c r="T19" s="248">
        <f t="shared" si="7"/>
        <v>0.92481165571966462</v>
      </c>
      <c r="U19" s="248">
        <f t="shared" si="8"/>
        <v>0.99907665706051874</v>
      </c>
    </row>
    <row r="20" spans="1:21" ht="21.95" customHeight="1">
      <c r="A20" s="230" t="s">
        <v>36</v>
      </c>
      <c r="B20" s="231" t="s">
        <v>287</v>
      </c>
      <c r="C20" s="232">
        <f t="shared" si="2"/>
        <v>5007491176</v>
      </c>
      <c r="D20" s="232">
        <v>3000000</v>
      </c>
      <c r="E20" s="232">
        <v>4406491176</v>
      </c>
      <c r="F20" s="232">
        <v>598000000</v>
      </c>
      <c r="G20" s="232">
        <f t="shared" si="3"/>
        <v>4945621161</v>
      </c>
      <c r="H20" s="232">
        <v>0</v>
      </c>
      <c r="I20" s="232">
        <v>0</v>
      </c>
      <c r="J20" s="232">
        <v>0</v>
      </c>
      <c r="K20" s="232">
        <v>4132761579</v>
      </c>
      <c r="L20" s="232">
        <v>3300000</v>
      </c>
      <c r="M20" s="232">
        <v>0</v>
      </c>
      <c r="N20" s="232">
        <f t="shared" si="4"/>
        <v>583743800</v>
      </c>
      <c r="O20" s="232">
        <v>0</v>
      </c>
      <c r="P20" s="232">
        <v>583743800</v>
      </c>
      <c r="Q20" s="232">
        <v>229115782</v>
      </c>
      <c r="R20" s="248">
        <f t="shared" si="5"/>
        <v>0.98764450843237994</v>
      </c>
      <c r="S20" s="248">
        <f t="shared" si="6"/>
        <v>0</v>
      </c>
      <c r="T20" s="248">
        <f t="shared" si="7"/>
        <v>0.93788037101018806</v>
      </c>
      <c r="U20" s="248">
        <f t="shared" si="8"/>
        <v>0.97616020066889631</v>
      </c>
    </row>
    <row r="21" spans="1:21" ht="21.95" customHeight="1">
      <c r="A21" s="230" t="s">
        <v>37</v>
      </c>
      <c r="B21" s="231" t="s">
        <v>290</v>
      </c>
      <c r="C21" s="232">
        <f t="shared" si="2"/>
        <v>6925309847</v>
      </c>
      <c r="D21" s="232">
        <v>500000</v>
      </c>
      <c r="E21" s="232">
        <v>6224809847</v>
      </c>
      <c r="F21" s="232">
        <v>700000000</v>
      </c>
      <c r="G21" s="232">
        <f t="shared" si="3"/>
        <v>6901788577</v>
      </c>
      <c r="H21" s="232">
        <v>0</v>
      </c>
      <c r="I21" s="232">
        <v>0</v>
      </c>
      <c r="J21" s="232">
        <v>0</v>
      </c>
      <c r="K21" s="232">
        <v>5481246076</v>
      </c>
      <c r="L21" s="232">
        <v>3400000</v>
      </c>
      <c r="M21" s="232">
        <v>0</v>
      </c>
      <c r="N21" s="232">
        <f t="shared" si="4"/>
        <v>679160000</v>
      </c>
      <c r="O21" s="232">
        <v>0</v>
      </c>
      <c r="P21" s="232">
        <v>679160000</v>
      </c>
      <c r="Q21" s="232">
        <v>741382501</v>
      </c>
      <c r="R21" s="248">
        <f t="shared" si="5"/>
        <v>0.99660357868172655</v>
      </c>
      <c r="S21" s="248">
        <f t="shared" si="6"/>
        <v>0</v>
      </c>
      <c r="T21" s="248">
        <f t="shared" si="7"/>
        <v>0.88054835580907664</v>
      </c>
      <c r="U21" s="248">
        <f t="shared" si="8"/>
        <v>0.97022857142857144</v>
      </c>
    </row>
    <row r="22" spans="1:21" ht="21.95" customHeight="1">
      <c r="A22" s="230" t="s">
        <v>38</v>
      </c>
      <c r="B22" s="231" t="s">
        <v>288</v>
      </c>
      <c r="C22" s="232">
        <f t="shared" si="2"/>
        <v>4426872160</v>
      </c>
      <c r="D22" s="232">
        <v>500000</v>
      </c>
      <c r="E22" s="232">
        <v>3786372160</v>
      </c>
      <c r="F22" s="232">
        <v>640000000</v>
      </c>
      <c r="G22" s="232">
        <f t="shared" si="3"/>
        <v>4336562942</v>
      </c>
      <c r="H22" s="232">
        <v>0</v>
      </c>
      <c r="I22" s="232">
        <v>0</v>
      </c>
      <c r="J22" s="232">
        <v>0</v>
      </c>
      <c r="K22" s="232">
        <v>3577486685</v>
      </c>
      <c r="L22" s="232">
        <v>2700000</v>
      </c>
      <c r="M22" s="232">
        <v>0</v>
      </c>
      <c r="N22" s="232">
        <f t="shared" si="4"/>
        <v>637775000</v>
      </c>
      <c r="O22" s="232">
        <v>0</v>
      </c>
      <c r="P22" s="232">
        <v>637775000</v>
      </c>
      <c r="Q22" s="232">
        <v>121301257</v>
      </c>
      <c r="R22" s="248">
        <f t="shared" si="5"/>
        <v>0.97959976824810768</v>
      </c>
      <c r="S22" s="248">
        <f t="shared" si="6"/>
        <v>0</v>
      </c>
      <c r="T22" s="248">
        <f t="shared" si="7"/>
        <v>0.94483229165724691</v>
      </c>
      <c r="U22" s="248">
        <f t="shared" si="8"/>
        <v>0.99652343750000005</v>
      </c>
    </row>
    <row r="23" spans="1:21" ht="21.95" customHeight="1">
      <c r="A23" s="238" t="s">
        <v>39</v>
      </c>
      <c r="B23" s="233" t="s">
        <v>293</v>
      </c>
      <c r="C23" s="243">
        <f t="shared" si="2"/>
        <v>6693611482</v>
      </c>
      <c r="D23" s="234">
        <v>612677700</v>
      </c>
      <c r="E23" s="234">
        <v>4932933782</v>
      </c>
      <c r="F23" s="234">
        <v>1148000000</v>
      </c>
      <c r="G23" s="234">
        <f>H23+K23+N23+Q23</f>
        <v>6791139694</v>
      </c>
      <c r="H23" s="234">
        <v>608092356</v>
      </c>
      <c r="I23" s="234">
        <v>0</v>
      </c>
      <c r="J23" s="234">
        <v>0</v>
      </c>
      <c r="K23" s="234">
        <v>4194580183</v>
      </c>
      <c r="L23" s="234">
        <v>3600000</v>
      </c>
      <c r="M23" s="234">
        <v>0</v>
      </c>
      <c r="N23" s="243">
        <f t="shared" si="4"/>
        <v>1140399807</v>
      </c>
      <c r="O23" s="234">
        <v>0</v>
      </c>
      <c r="P23" s="234">
        <v>1140399807</v>
      </c>
      <c r="Q23" s="234">
        <v>848067348</v>
      </c>
      <c r="R23" s="249">
        <f t="shared" si="5"/>
        <v>1.0145703425217114</v>
      </c>
      <c r="S23" s="249">
        <f t="shared" si="6"/>
        <v>0.99251589538839102</v>
      </c>
      <c r="T23" s="249">
        <f t="shared" si="7"/>
        <v>0.85032160745919372</v>
      </c>
      <c r="U23" s="249">
        <f t="shared" si="8"/>
        <v>0.99337962282229963</v>
      </c>
    </row>
    <row r="24" spans="1:21" ht="8.25" customHeight="1">
      <c r="A24" s="235"/>
      <c r="B24" s="235"/>
      <c r="C24" s="236"/>
      <c r="D24" s="236"/>
      <c r="E24" s="236"/>
      <c r="F24" s="236"/>
      <c r="G24" s="236"/>
      <c r="H24" s="236"/>
      <c r="I24" s="236"/>
      <c r="J24" s="236"/>
      <c r="K24" s="236"/>
      <c r="L24" s="236"/>
      <c r="M24" s="236"/>
      <c r="N24" s="236"/>
      <c r="O24" s="236"/>
      <c r="P24" s="236"/>
      <c r="Q24" s="236"/>
      <c r="R24" s="237"/>
      <c r="S24" s="237"/>
      <c r="T24" s="237"/>
      <c r="U24" s="237"/>
    </row>
    <row r="25" spans="1:21" ht="15" customHeight="1">
      <c r="B25" s="282"/>
      <c r="C25" s="281" t="s">
        <v>519</v>
      </c>
      <c r="D25" s="282"/>
      <c r="E25" s="282"/>
      <c r="F25" s="282"/>
      <c r="G25" s="282"/>
      <c r="H25" s="282"/>
      <c r="I25" s="282"/>
      <c r="J25" s="282"/>
      <c r="K25" s="282"/>
      <c r="L25" s="282"/>
      <c r="M25" s="282"/>
      <c r="N25" s="282"/>
      <c r="O25" s="282"/>
      <c r="P25" s="282"/>
      <c r="Q25" s="282"/>
      <c r="R25" s="282"/>
      <c r="S25" s="282"/>
      <c r="T25" s="282"/>
      <c r="U25" s="282"/>
    </row>
    <row r="26" spans="1:21">
      <c r="A26" s="348" t="s">
        <v>0</v>
      </c>
      <c r="B26" s="348"/>
      <c r="C26" s="348"/>
      <c r="D26" s="348"/>
      <c r="E26" s="348"/>
      <c r="F26" s="348"/>
      <c r="G26" s="348"/>
      <c r="H26" s="348"/>
      <c r="I26" s="348"/>
      <c r="J26" s="348"/>
      <c r="K26" s="348"/>
      <c r="L26" s="348"/>
      <c r="M26" s="348"/>
      <c r="N26" s="348"/>
      <c r="O26" s="348"/>
      <c r="P26" s="348"/>
      <c r="Q26" s="348"/>
      <c r="R26" s="348"/>
      <c r="S26" s="348"/>
      <c r="T26" s="348"/>
      <c r="U26" s="348"/>
    </row>
    <row r="27" spans="1:21">
      <c r="A27" s="348" t="s">
        <v>0</v>
      </c>
      <c r="B27" s="348"/>
      <c r="C27" s="348"/>
      <c r="D27" s="348"/>
      <c r="E27" s="348"/>
      <c r="F27" s="348"/>
      <c r="G27" s="348"/>
      <c r="H27" s="348"/>
      <c r="I27" s="348"/>
      <c r="J27" s="348"/>
      <c r="K27" s="348"/>
      <c r="L27" s="348"/>
      <c r="M27" s="348"/>
      <c r="N27" s="348"/>
      <c r="O27" s="348"/>
      <c r="P27" s="348"/>
      <c r="Q27" s="348"/>
      <c r="R27" s="348"/>
      <c r="S27" s="348"/>
      <c r="T27" s="348"/>
      <c r="U27" s="348"/>
    </row>
  </sheetData>
  <mergeCells count="31">
    <mergeCell ref="A26:U26"/>
    <mergeCell ref="A27:U27"/>
    <mergeCell ref="U7:U9"/>
    <mergeCell ref="H8:H9"/>
    <mergeCell ref="I8:J8"/>
    <mergeCell ref="K8:K9"/>
    <mergeCell ref="L8:M8"/>
    <mergeCell ref="N8:N9"/>
    <mergeCell ref="O8:P8"/>
    <mergeCell ref="R7:R9"/>
    <mergeCell ref="A6:A9"/>
    <mergeCell ref="B6:B9"/>
    <mergeCell ref="C6:F6"/>
    <mergeCell ref="G6:Q6"/>
    <mergeCell ref="R6:U6"/>
    <mergeCell ref="L2:U2"/>
    <mergeCell ref="L3:U3"/>
    <mergeCell ref="T7:T9"/>
    <mergeCell ref="S4:U5"/>
    <mergeCell ref="C2:J2"/>
    <mergeCell ref="C3:J3"/>
    <mergeCell ref="H7:J7"/>
    <mergeCell ref="K7:M7"/>
    <mergeCell ref="N7:P7"/>
    <mergeCell ref="Q7:Q9"/>
    <mergeCell ref="S7:S9"/>
    <mergeCell ref="C7:C9"/>
    <mergeCell ref="D7:D9"/>
    <mergeCell ref="E7:E9"/>
    <mergeCell ref="F7:F9"/>
    <mergeCell ref="G7:G9"/>
  </mergeCells>
  <pageMargins left="0.68" right="0.16" top="0.75" bottom="0.75" header="0.3" footer="0.3"/>
  <pageSetup paperSize="9" scale="90" orientation="landscape" verticalDpi="0" r:id="rId1"/>
  <headerFooter>
    <oddFooter>&amp;C&amp;P/&amp;N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6"/>
  <sheetViews>
    <sheetView showGridLines="0" view="pageBreakPreview" topLeftCell="A4" zoomScaleNormal="100" zoomScaleSheetLayoutView="100" workbookViewId="0">
      <selection activeCell="D14" sqref="D14"/>
    </sheetView>
  </sheetViews>
  <sheetFormatPr defaultRowHeight="15"/>
  <cols>
    <col min="1" max="1" width="5.28515625" style="253" customWidth="1"/>
    <col min="2" max="2" width="18.42578125" style="253" customWidth="1"/>
    <col min="3" max="3" width="15.42578125" style="253" bestFit="1" customWidth="1"/>
    <col min="4" max="4" width="16.28515625" style="253" customWidth="1"/>
    <col min="5" max="5" width="15" style="253" customWidth="1"/>
    <col min="6" max="6" width="4.7109375" style="253" customWidth="1"/>
    <col min="7" max="7" width="15.140625" style="253" customWidth="1"/>
    <col min="8" max="8" width="8.140625" style="253" customWidth="1"/>
    <col min="9" max="9" width="14.28515625" style="253" customWidth="1"/>
    <col min="10" max="10" width="14.42578125" style="253" customWidth="1"/>
    <col min="11" max="11" width="15.42578125" style="253" customWidth="1"/>
    <col min="12" max="12" width="15.5703125" style="253" customWidth="1"/>
    <col min="13" max="13" width="15.42578125" style="253" bestFit="1" customWidth="1"/>
    <col min="14" max="14" width="4.42578125" style="253" customWidth="1"/>
    <col min="15" max="15" width="16" style="253" customWidth="1"/>
    <col min="16" max="16" width="9.7109375" style="253" customWidth="1"/>
    <col min="17" max="17" width="14.140625" style="253" customWidth="1"/>
    <col min="18" max="18" width="14.85546875" style="253" customWidth="1"/>
    <col min="19" max="19" width="9.85546875" style="253" customWidth="1"/>
    <col min="20" max="20" width="10.7109375" style="253" customWidth="1"/>
    <col min="21" max="21" width="9.140625" style="253" customWidth="1"/>
    <col min="22" max="22" width="4.85546875" style="253" customWidth="1"/>
    <col min="23" max="23" width="10" style="253" customWidth="1"/>
    <col min="24" max="24" width="8.5703125" style="253" customWidth="1"/>
    <col min="25" max="25" width="9.140625" style="253" customWidth="1"/>
    <col min="26" max="26" width="9" style="253" customWidth="1"/>
    <col min="27" max="16384" width="9.140625" style="253"/>
  </cols>
  <sheetData>
    <row r="1" spans="1:26">
      <c r="A1" s="278" t="s">
        <v>126</v>
      </c>
      <c r="B1" s="274"/>
      <c r="C1" s="274"/>
      <c r="D1" s="274"/>
      <c r="E1" s="274"/>
      <c r="F1" s="274"/>
      <c r="G1" s="274"/>
      <c r="H1" s="274"/>
      <c r="I1" s="274"/>
      <c r="J1" s="274"/>
      <c r="K1" s="274"/>
      <c r="L1" s="274"/>
      <c r="M1" s="274"/>
      <c r="N1" s="274"/>
      <c r="O1" s="274"/>
      <c r="P1" s="274"/>
      <c r="Q1" s="274"/>
      <c r="R1" s="274"/>
      <c r="S1" s="274"/>
      <c r="T1" s="274"/>
      <c r="U1" s="274"/>
      <c r="V1" s="274"/>
      <c r="W1" s="274"/>
      <c r="X1" s="274"/>
      <c r="Y1" s="274"/>
    </row>
    <row r="2" spans="1:26" ht="15" customHeight="1">
      <c r="B2" s="275"/>
      <c r="C2" s="275"/>
      <c r="D2" s="275"/>
      <c r="E2" s="275"/>
      <c r="F2" s="275"/>
      <c r="G2" s="275"/>
      <c r="H2" s="275"/>
      <c r="I2" s="275"/>
      <c r="J2" s="275"/>
      <c r="K2" s="275"/>
      <c r="L2" s="275"/>
      <c r="M2" s="275"/>
      <c r="N2" s="275"/>
      <c r="O2" s="275"/>
      <c r="P2" s="275"/>
      <c r="Q2" s="275"/>
      <c r="R2" s="275"/>
      <c r="S2" s="275"/>
      <c r="T2" s="275"/>
      <c r="U2" s="275"/>
      <c r="V2" s="275"/>
      <c r="W2" s="275"/>
      <c r="X2" s="275"/>
      <c r="Y2" s="275"/>
      <c r="Z2" s="275"/>
    </row>
    <row r="3" spans="1:26" ht="18">
      <c r="B3" s="275"/>
      <c r="C3" s="350" t="s">
        <v>127</v>
      </c>
      <c r="D3" s="350"/>
      <c r="E3" s="350"/>
      <c r="F3" s="350"/>
      <c r="G3" s="350"/>
      <c r="H3" s="350"/>
      <c r="I3" s="350"/>
      <c r="J3" s="350"/>
      <c r="K3" s="350"/>
      <c r="L3" s="350"/>
      <c r="M3" s="276"/>
      <c r="N3" s="275"/>
      <c r="O3" s="275"/>
      <c r="P3" s="275"/>
      <c r="Q3" s="275"/>
      <c r="R3" s="275"/>
      <c r="S3" s="275"/>
      <c r="T3" s="275"/>
      <c r="U3" s="275"/>
      <c r="V3" s="275"/>
      <c r="W3" s="275"/>
      <c r="X3" s="275"/>
      <c r="Y3" s="275"/>
      <c r="Z3" s="275"/>
    </row>
    <row r="4" spans="1:26" ht="18.75">
      <c r="B4" s="275"/>
      <c r="C4" s="351" t="s">
        <v>67</v>
      </c>
      <c r="D4" s="351"/>
      <c r="E4" s="351"/>
      <c r="F4" s="351"/>
      <c r="G4" s="351"/>
      <c r="H4" s="351"/>
      <c r="I4" s="351"/>
      <c r="J4" s="351"/>
      <c r="K4" s="351"/>
      <c r="L4" s="351"/>
      <c r="M4" s="276"/>
      <c r="N4" s="275"/>
      <c r="O4" s="275"/>
      <c r="P4" s="275"/>
      <c r="Q4" s="275"/>
      <c r="R4" s="275"/>
      <c r="S4" s="275"/>
      <c r="T4" s="275"/>
      <c r="U4" s="275"/>
      <c r="V4" s="275"/>
      <c r="W4" s="275"/>
      <c r="X4" s="275"/>
      <c r="Y4" s="275"/>
      <c r="Z4" s="275"/>
    </row>
    <row r="5" spans="1:26">
      <c r="A5" s="349" t="s">
        <v>128</v>
      </c>
      <c r="B5" s="349"/>
      <c r="C5" s="349"/>
      <c r="D5" s="349"/>
      <c r="E5" s="349"/>
      <c r="F5" s="349"/>
      <c r="G5" s="349"/>
      <c r="H5" s="349"/>
      <c r="I5" s="349"/>
      <c r="J5" s="349"/>
      <c r="K5" s="349"/>
      <c r="L5" s="349"/>
      <c r="M5" s="349"/>
      <c r="N5" s="349"/>
      <c r="O5" s="349"/>
      <c r="P5" s="349"/>
      <c r="Q5" s="349"/>
      <c r="R5" s="349"/>
      <c r="S5" s="349"/>
      <c r="T5" s="349"/>
      <c r="U5" s="349"/>
      <c r="V5" s="349"/>
      <c r="W5" s="349"/>
      <c r="X5" s="349"/>
      <c r="Y5" s="349"/>
      <c r="Z5" s="349"/>
    </row>
    <row r="6" spans="1:26" ht="21" customHeight="1">
      <c r="A6" s="345" t="s">
        <v>4</v>
      </c>
      <c r="B6" s="345" t="s">
        <v>120</v>
      </c>
      <c r="C6" s="345" t="s">
        <v>521</v>
      </c>
      <c r="D6" s="345"/>
      <c r="E6" s="345"/>
      <c r="F6" s="345"/>
      <c r="G6" s="345"/>
      <c r="H6" s="345"/>
      <c r="I6" s="345"/>
      <c r="J6" s="345"/>
      <c r="K6" s="345" t="s">
        <v>7</v>
      </c>
      <c r="L6" s="345"/>
      <c r="M6" s="345"/>
      <c r="N6" s="345"/>
      <c r="O6" s="345"/>
      <c r="P6" s="345"/>
      <c r="Q6" s="345"/>
      <c r="R6" s="345"/>
      <c r="S6" s="345" t="s">
        <v>129</v>
      </c>
      <c r="T6" s="345"/>
      <c r="U6" s="345"/>
      <c r="V6" s="345"/>
      <c r="W6" s="345"/>
      <c r="X6" s="345"/>
      <c r="Y6" s="345"/>
      <c r="Z6" s="345"/>
    </row>
    <row r="7" spans="1:26" ht="21" customHeight="1">
      <c r="A7" s="345"/>
      <c r="B7" s="345"/>
      <c r="C7" s="345" t="s">
        <v>78</v>
      </c>
      <c r="D7" s="345" t="s">
        <v>130</v>
      </c>
      <c r="E7" s="345" t="s">
        <v>131</v>
      </c>
      <c r="F7" s="345"/>
      <c r="G7" s="345"/>
      <c r="H7" s="345"/>
      <c r="I7" s="345"/>
      <c r="J7" s="345"/>
      <c r="K7" s="345" t="s">
        <v>78</v>
      </c>
      <c r="L7" s="345" t="s">
        <v>130</v>
      </c>
      <c r="M7" s="345" t="s">
        <v>131</v>
      </c>
      <c r="N7" s="345"/>
      <c r="O7" s="345"/>
      <c r="P7" s="345"/>
      <c r="Q7" s="345"/>
      <c r="R7" s="345"/>
      <c r="S7" s="345" t="s">
        <v>78</v>
      </c>
      <c r="T7" s="345" t="s">
        <v>130</v>
      </c>
      <c r="U7" s="345" t="s">
        <v>131</v>
      </c>
      <c r="V7" s="345"/>
      <c r="W7" s="345"/>
      <c r="X7" s="345"/>
      <c r="Y7" s="345"/>
      <c r="Z7" s="345"/>
    </row>
    <row r="8" spans="1:26" ht="21" customHeight="1">
      <c r="A8" s="345"/>
      <c r="B8" s="345"/>
      <c r="C8" s="345"/>
      <c r="D8" s="345"/>
      <c r="E8" s="345" t="s">
        <v>78</v>
      </c>
      <c r="F8" s="345" t="s">
        <v>132</v>
      </c>
      <c r="G8" s="345"/>
      <c r="H8" s="352" t="s">
        <v>133</v>
      </c>
      <c r="I8" s="345" t="s">
        <v>134</v>
      </c>
      <c r="J8" s="345" t="s">
        <v>135</v>
      </c>
      <c r="K8" s="345"/>
      <c r="L8" s="345"/>
      <c r="M8" s="345" t="s">
        <v>78</v>
      </c>
      <c r="N8" s="345" t="s">
        <v>132</v>
      </c>
      <c r="O8" s="345"/>
      <c r="P8" s="352" t="s">
        <v>133</v>
      </c>
      <c r="Q8" s="345" t="s">
        <v>134</v>
      </c>
      <c r="R8" s="345" t="s">
        <v>135</v>
      </c>
      <c r="S8" s="345"/>
      <c r="T8" s="345"/>
      <c r="U8" s="345" t="s">
        <v>78</v>
      </c>
      <c r="V8" s="345" t="s">
        <v>132</v>
      </c>
      <c r="W8" s="345"/>
      <c r="X8" s="352" t="s">
        <v>133</v>
      </c>
      <c r="Y8" s="345" t="s">
        <v>134</v>
      </c>
      <c r="Z8" s="345" t="s">
        <v>135</v>
      </c>
    </row>
    <row r="9" spans="1:26" ht="109.5" customHeight="1">
      <c r="A9" s="345"/>
      <c r="B9" s="345"/>
      <c r="C9" s="345"/>
      <c r="D9" s="345"/>
      <c r="E9" s="345"/>
      <c r="F9" s="271" t="s">
        <v>136</v>
      </c>
      <c r="G9" s="229" t="s">
        <v>137</v>
      </c>
      <c r="H9" s="352"/>
      <c r="I9" s="345"/>
      <c r="J9" s="345"/>
      <c r="K9" s="345"/>
      <c r="L9" s="345"/>
      <c r="M9" s="345"/>
      <c r="N9" s="271" t="s">
        <v>136</v>
      </c>
      <c r="O9" s="229" t="s">
        <v>137</v>
      </c>
      <c r="P9" s="352"/>
      <c r="Q9" s="345"/>
      <c r="R9" s="345"/>
      <c r="S9" s="345"/>
      <c r="T9" s="345"/>
      <c r="U9" s="345"/>
      <c r="V9" s="271" t="s">
        <v>136</v>
      </c>
      <c r="W9" s="229" t="s">
        <v>137</v>
      </c>
      <c r="X9" s="352"/>
      <c r="Y9" s="345"/>
      <c r="Z9" s="345"/>
    </row>
    <row r="10" spans="1:26" ht="45">
      <c r="A10" s="229" t="s">
        <v>9</v>
      </c>
      <c r="B10" s="229" t="s">
        <v>26</v>
      </c>
      <c r="C10" s="229" t="s">
        <v>13</v>
      </c>
      <c r="D10" s="229" t="s">
        <v>21</v>
      </c>
      <c r="E10" s="229" t="s">
        <v>138</v>
      </c>
      <c r="F10" s="229" t="s">
        <v>31</v>
      </c>
      <c r="G10" s="229" t="s">
        <v>32</v>
      </c>
      <c r="H10" s="229" t="s">
        <v>33</v>
      </c>
      <c r="I10" s="229" t="s">
        <v>34</v>
      </c>
      <c r="J10" s="229" t="s">
        <v>35</v>
      </c>
      <c r="K10" s="229" t="s">
        <v>36</v>
      </c>
      <c r="L10" s="229" t="s">
        <v>37</v>
      </c>
      <c r="M10" s="229" t="s">
        <v>139</v>
      </c>
      <c r="N10" s="229" t="s">
        <v>39</v>
      </c>
      <c r="O10" s="229" t="s">
        <v>40</v>
      </c>
      <c r="P10" s="229" t="s">
        <v>41</v>
      </c>
      <c r="Q10" s="229" t="s">
        <v>42</v>
      </c>
      <c r="R10" s="229" t="s">
        <v>43</v>
      </c>
      <c r="S10" s="229" t="s">
        <v>140</v>
      </c>
      <c r="T10" s="229" t="s">
        <v>141</v>
      </c>
      <c r="U10" s="229" t="s">
        <v>142</v>
      </c>
      <c r="V10" s="229" t="s">
        <v>143</v>
      </c>
      <c r="W10" s="229" t="s">
        <v>144</v>
      </c>
      <c r="X10" s="229" t="s">
        <v>145</v>
      </c>
      <c r="Y10" s="229" t="s">
        <v>146</v>
      </c>
      <c r="Z10" s="229" t="s">
        <v>147</v>
      </c>
    </row>
    <row r="11" spans="1:26" s="252" customFormat="1" ht="21.95" customHeight="1">
      <c r="A11" s="242"/>
      <c r="B11" s="240" t="s">
        <v>118</v>
      </c>
      <c r="C11" s="241">
        <f>SUM(C12:C23)</f>
        <v>64981011159</v>
      </c>
      <c r="D11" s="241">
        <f t="shared" ref="D11:R11" si="0">SUM(D12:D23)</f>
        <v>48881553000</v>
      </c>
      <c r="E11" s="241">
        <f t="shared" si="0"/>
        <v>16099458159</v>
      </c>
      <c r="F11" s="241">
        <f t="shared" si="0"/>
        <v>0</v>
      </c>
      <c r="G11" s="241">
        <f t="shared" si="0"/>
        <v>16099458159</v>
      </c>
      <c r="H11" s="241">
        <f t="shared" si="0"/>
        <v>0</v>
      </c>
      <c r="I11" s="241">
        <f t="shared" si="0"/>
        <v>8247458159</v>
      </c>
      <c r="J11" s="241">
        <f t="shared" si="0"/>
        <v>7852000000</v>
      </c>
      <c r="K11" s="241">
        <f t="shared" si="0"/>
        <v>64300019212</v>
      </c>
      <c r="L11" s="241">
        <f t="shared" si="0"/>
        <v>48881553000</v>
      </c>
      <c r="M11" s="241">
        <f t="shared" si="0"/>
        <v>15418466212</v>
      </c>
      <c r="N11" s="241">
        <f t="shared" si="0"/>
        <v>0</v>
      </c>
      <c r="O11" s="241">
        <f t="shared" si="0"/>
        <v>15418466212</v>
      </c>
      <c r="P11" s="241">
        <f t="shared" si="0"/>
        <v>0</v>
      </c>
      <c r="Q11" s="241">
        <f t="shared" si="0"/>
        <v>7638566305</v>
      </c>
      <c r="R11" s="241">
        <f t="shared" si="0"/>
        <v>7779899907</v>
      </c>
      <c r="S11" s="272">
        <f t="shared" ref="S11:U12" si="1">K11/C11</f>
        <v>0.98952013927062932</v>
      </c>
      <c r="T11" s="272">
        <f t="shared" si="1"/>
        <v>1</v>
      </c>
      <c r="U11" s="272">
        <f t="shared" si="1"/>
        <v>0.9577009399773303</v>
      </c>
      <c r="V11" s="272"/>
      <c r="W11" s="272">
        <f>O11/G11</f>
        <v>0.9577009399773303</v>
      </c>
      <c r="X11" s="272"/>
      <c r="Y11" s="272">
        <f>Q11/I11</f>
        <v>0.92617218029344595</v>
      </c>
      <c r="Z11" s="272">
        <f>R11/J11</f>
        <v>0.99081761423841064</v>
      </c>
    </row>
    <row r="12" spans="1:26" ht="21.95" customHeight="1">
      <c r="A12" s="230" t="s">
        <v>13</v>
      </c>
      <c r="B12" s="231" t="s">
        <v>517</v>
      </c>
      <c r="C12" s="232">
        <f>D12+E12</f>
        <v>5017273200</v>
      </c>
      <c r="D12" s="232">
        <f>3707800000+88568000+14900000</f>
        <v>3811268000</v>
      </c>
      <c r="E12" s="232">
        <f>F12+G12</f>
        <v>1206005200</v>
      </c>
      <c r="F12" s="232"/>
      <c r="G12" s="232">
        <f>H12+I12+J12</f>
        <v>1206005200</v>
      </c>
      <c r="H12" s="232"/>
      <c r="I12" s="232">
        <v>572005200</v>
      </c>
      <c r="J12" s="232">
        <v>634000000</v>
      </c>
      <c r="K12" s="232">
        <f t="shared" ref="K12:K23" si="2">L12+M12</f>
        <v>4980130679</v>
      </c>
      <c r="L12" s="232">
        <v>3811268000</v>
      </c>
      <c r="M12" s="232">
        <f>N12+O12</f>
        <v>1168862679</v>
      </c>
      <c r="N12" s="232"/>
      <c r="O12" s="232">
        <f>P12+Q12+R12</f>
        <v>1168862679</v>
      </c>
      <c r="P12" s="232"/>
      <c r="Q12" s="232">
        <f>1168862679-R12</f>
        <v>537050679</v>
      </c>
      <c r="R12" s="232">
        <v>631812000</v>
      </c>
      <c r="S12" s="254">
        <f t="shared" si="1"/>
        <v>0.99259707025720667</v>
      </c>
      <c r="T12" s="254">
        <f t="shared" si="1"/>
        <v>1</v>
      </c>
      <c r="U12" s="254">
        <f t="shared" si="1"/>
        <v>0.96920202251200904</v>
      </c>
      <c r="V12" s="254"/>
      <c r="W12" s="254">
        <f>O12/G12</f>
        <v>0.96920202251200904</v>
      </c>
      <c r="X12" s="254"/>
      <c r="Y12" s="254">
        <f>Q12/I12</f>
        <v>0.93889125308651045</v>
      </c>
      <c r="Z12" s="254">
        <f>R12/J12</f>
        <v>0.9965488958990536</v>
      </c>
    </row>
    <row r="13" spans="1:26" ht="21.95" customHeight="1">
      <c r="A13" s="230" t="s">
        <v>21</v>
      </c>
      <c r="B13" s="231" t="s">
        <v>284</v>
      </c>
      <c r="C13" s="232">
        <f t="shared" ref="C13:C23" si="3">D13+E13</f>
        <v>4290600600</v>
      </c>
      <c r="D13" s="232">
        <f>3192100000+87950000+19920000</f>
        <v>3299970000</v>
      </c>
      <c r="E13" s="232">
        <f t="shared" ref="E13:E23" si="4">F13+G13</f>
        <v>990630600</v>
      </c>
      <c r="F13" s="232"/>
      <c r="G13" s="232">
        <f t="shared" ref="G13:G23" si="5">H13+I13+J13</f>
        <v>990630600</v>
      </c>
      <c r="H13" s="232"/>
      <c r="I13" s="232">
        <v>374630600</v>
      </c>
      <c r="J13" s="232">
        <v>616000000</v>
      </c>
      <c r="K13" s="232">
        <f t="shared" si="2"/>
        <v>4262772130</v>
      </c>
      <c r="L13" s="232">
        <v>3299970000</v>
      </c>
      <c r="M13" s="232">
        <f t="shared" ref="M13:M23" si="6">N13+O13</f>
        <v>962802130</v>
      </c>
      <c r="N13" s="232"/>
      <c r="O13" s="232">
        <f t="shared" ref="O13:O23" si="7">P13+Q13+R13</f>
        <v>962802130</v>
      </c>
      <c r="P13" s="232"/>
      <c r="Q13" s="232">
        <f>962802130-R13</f>
        <v>348550130</v>
      </c>
      <c r="R13" s="232">
        <v>614252000</v>
      </c>
      <c r="S13" s="254">
        <f t="shared" ref="S13:S23" si="8">K13/C13</f>
        <v>0.99351408518425133</v>
      </c>
      <c r="T13" s="254">
        <f t="shared" ref="T13:T23" si="9">L13/D13</f>
        <v>1</v>
      </c>
      <c r="U13" s="254">
        <f t="shared" ref="U13:U23" si="10">M13/E13</f>
        <v>0.9719083278873073</v>
      </c>
      <c r="V13" s="254"/>
      <c r="W13" s="254">
        <f t="shared" ref="W13:W23" si="11">O13/G13</f>
        <v>0.9719083278873073</v>
      </c>
      <c r="X13" s="254"/>
      <c r="Y13" s="254">
        <f t="shared" ref="Y13:Y23" si="12">Q13/I13</f>
        <v>0.93038350310946305</v>
      </c>
      <c r="Z13" s="254">
        <f t="shared" ref="Z13:Z23" si="13">R13/J13</f>
        <v>0.99716233766233764</v>
      </c>
    </row>
    <row r="14" spans="1:26" ht="21.95" customHeight="1">
      <c r="A14" s="230" t="s">
        <v>30</v>
      </c>
      <c r="B14" s="231" t="s">
        <v>291</v>
      </c>
      <c r="C14" s="232">
        <f t="shared" si="3"/>
        <v>7126382800</v>
      </c>
      <c r="D14" s="232">
        <f>5309200000+111139000</f>
        <v>5420339000</v>
      </c>
      <c r="E14" s="232">
        <f t="shared" si="4"/>
        <v>1706043800</v>
      </c>
      <c r="F14" s="232"/>
      <c r="G14" s="232">
        <f t="shared" si="5"/>
        <v>1706043800</v>
      </c>
      <c r="H14" s="232"/>
      <c r="I14" s="232">
        <v>754043800</v>
      </c>
      <c r="J14" s="232">
        <v>952000000</v>
      </c>
      <c r="K14" s="232">
        <f t="shared" si="2"/>
        <v>6842550840</v>
      </c>
      <c r="L14" s="232">
        <v>5420339000</v>
      </c>
      <c r="M14" s="232">
        <f t="shared" si="6"/>
        <v>1422211840</v>
      </c>
      <c r="N14" s="232"/>
      <c r="O14" s="232">
        <f t="shared" si="7"/>
        <v>1422211840</v>
      </c>
      <c r="P14" s="232"/>
      <c r="Q14" s="232">
        <f>1422211840-R14</f>
        <v>485554240</v>
      </c>
      <c r="R14" s="232">
        <v>936657600</v>
      </c>
      <c r="S14" s="254">
        <f t="shared" si="8"/>
        <v>0.96017166521001374</v>
      </c>
      <c r="T14" s="254">
        <f t="shared" si="9"/>
        <v>1</v>
      </c>
      <c r="U14" s="254">
        <f t="shared" si="10"/>
        <v>0.83363149293118965</v>
      </c>
      <c r="V14" s="254"/>
      <c r="W14" s="254">
        <f t="shared" si="11"/>
        <v>0.83363149293118965</v>
      </c>
      <c r="X14" s="254"/>
      <c r="Y14" s="254">
        <f t="shared" si="12"/>
        <v>0.64393373435336254</v>
      </c>
      <c r="Z14" s="254">
        <f t="shared" si="13"/>
        <v>0.98388403361344534</v>
      </c>
    </row>
    <row r="15" spans="1:26" ht="21.95" customHeight="1">
      <c r="A15" s="230" t="s">
        <v>31</v>
      </c>
      <c r="B15" s="231" t="s">
        <v>282</v>
      </c>
      <c r="C15" s="232">
        <f t="shared" si="3"/>
        <v>4708380600</v>
      </c>
      <c r="D15" s="232">
        <f>3534200000+87221000</f>
        <v>3621421000</v>
      </c>
      <c r="E15" s="232">
        <f t="shared" si="4"/>
        <v>1086959600</v>
      </c>
      <c r="F15" s="232"/>
      <c r="G15" s="232">
        <f t="shared" si="5"/>
        <v>1086959600</v>
      </c>
      <c r="H15" s="232"/>
      <c r="I15" s="232">
        <f>878959600</f>
        <v>878959600</v>
      </c>
      <c r="J15" s="232">
        <v>208000000</v>
      </c>
      <c r="K15" s="232">
        <f>L15+M15</f>
        <v>4684145993</v>
      </c>
      <c r="L15" s="232">
        <v>3621421000</v>
      </c>
      <c r="M15" s="232">
        <f t="shared" si="6"/>
        <v>1062724993</v>
      </c>
      <c r="N15" s="232"/>
      <c r="O15" s="232">
        <f>P15+Q15+R15</f>
        <v>1062724993</v>
      </c>
      <c r="P15" s="232"/>
      <c r="Q15" s="232">
        <f>1062724993-R15</f>
        <v>854748493</v>
      </c>
      <c r="R15" s="232">
        <v>207976500</v>
      </c>
      <c r="S15" s="254">
        <f t="shared" si="8"/>
        <v>0.99485287850349224</v>
      </c>
      <c r="T15" s="254">
        <f t="shared" si="9"/>
        <v>1</v>
      </c>
      <c r="U15" s="254">
        <f t="shared" si="10"/>
        <v>0.97770422470163565</v>
      </c>
      <c r="V15" s="254"/>
      <c r="W15" s="254">
        <f t="shared" si="11"/>
        <v>0.97770422470163565</v>
      </c>
      <c r="X15" s="254"/>
      <c r="Y15" s="254">
        <f t="shared" si="12"/>
        <v>0.97245481248512444</v>
      </c>
      <c r="Z15" s="254">
        <f t="shared" si="13"/>
        <v>0.99988701923076928</v>
      </c>
    </row>
    <row r="16" spans="1:26" ht="21.95" customHeight="1">
      <c r="A16" s="230" t="s">
        <v>32</v>
      </c>
      <c r="B16" s="231" t="s">
        <v>286</v>
      </c>
      <c r="C16" s="232">
        <f t="shared" si="3"/>
        <v>5802823800</v>
      </c>
      <c r="D16" s="232">
        <f>3748200000+88983000+8128000</f>
        <v>3845311000</v>
      </c>
      <c r="E16" s="232">
        <f t="shared" si="4"/>
        <v>1957512800</v>
      </c>
      <c r="F16" s="232"/>
      <c r="G16" s="232">
        <f t="shared" si="5"/>
        <v>1957512800</v>
      </c>
      <c r="H16" s="232"/>
      <c r="I16" s="232">
        <v>1554512800</v>
      </c>
      <c r="J16" s="232">
        <v>403000000</v>
      </c>
      <c r="K16" s="232">
        <f t="shared" si="2"/>
        <v>5791473788</v>
      </c>
      <c r="L16" s="232">
        <v>3845311000</v>
      </c>
      <c r="M16" s="232">
        <f t="shared" si="6"/>
        <v>1946162788</v>
      </c>
      <c r="N16" s="232"/>
      <c r="O16" s="232">
        <f t="shared" si="7"/>
        <v>1946162788</v>
      </c>
      <c r="P16" s="232"/>
      <c r="Q16" s="232">
        <f>1946162788-R16</f>
        <v>1549062788</v>
      </c>
      <c r="R16" s="232">
        <v>397100000</v>
      </c>
      <c r="S16" s="254">
        <f t="shared" si="8"/>
        <v>0.9980440536553945</v>
      </c>
      <c r="T16" s="254">
        <f t="shared" si="9"/>
        <v>1</v>
      </c>
      <c r="U16" s="254">
        <f t="shared" si="10"/>
        <v>0.99420181977864974</v>
      </c>
      <c r="V16" s="254"/>
      <c r="W16" s="254">
        <f t="shared" si="11"/>
        <v>0.99420181977864974</v>
      </c>
      <c r="X16" s="254"/>
      <c r="Y16" s="254">
        <f t="shared" si="12"/>
        <v>0.9964940706824672</v>
      </c>
      <c r="Z16" s="254">
        <f t="shared" si="13"/>
        <v>0.98535980148883373</v>
      </c>
    </row>
    <row r="17" spans="1:26" ht="21.95" customHeight="1">
      <c r="A17" s="230" t="s">
        <v>33</v>
      </c>
      <c r="B17" s="231" t="s">
        <v>285</v>
      </c>
      <c r="C17" s="232">
        <f t="shared" si="3"/>
        <v>6213365400</v>
      </c>
      <c r="D17" s="232">
        <f>4742600000+103544000</f>
        <v>4846144000</v>
      </c>
      <c r="E17" s="232">
        <f t="shared" si="4"/>
        <v>1367221400</v>
      </c>
      <c r="F17" s="232"/>
      <c r="G17" s="232">
        <f t="shared" si="5"/>
        <v>1367221400</v>
      </c>
      <c r="H17" s="232"/>
      <c r="I17" s="232">
        <v>733221400</v>
      </c>
      <c r="J17" s="232">
        <v>634000000</v>
      </c>
      <c r="K17" s="232">
        <f t="shared" si="2"/>
        <v>6187358000</v>
      </c>
      <c r="L17" s="232">
        <v>4846144000</v>
      </c>
      <c r="M17" s="232">
        <f t="shared" si="6"/>
        <v>1341214000</v>
      </c>
      <c r="N17" s="232"/>
      <c r="O17" s="232">
        <f t="shared" si="7"/>
        <v>1341214000</v>
      </c>
      <c r="P17" s="232"/>
      <c r="Q17" s="232">
        <f>1341214000-R17</f>
        <v>708549000</v>
      </c>
      <c r="R17" s="232">
        <v>632665000</v>
      </c>
      <c r="S17" s="254">
        <f t="shared" si="8"/>
        <v>0.99581428125891325</v>
      </c>
      <c r="T17" s="254">
        <f t="shared" si="9"/>
        <v>1</v>
      </c>
      <c r="U17" s="254">
        <f t="shared" si="10"/>
        <v>0.98097791623214792</v>
      </c>
      <c r="V17" s="254"/>
      <c r="W17" s="254">
        <f t="shared" si="11"/>
        <v>0.98097791623214792</v>
      </c>
      <c r="X17" s="254"/>
      <c r="Y17" s="254">
        <f t="shared" si="12"/>
        <v>0.9663506820722908</v>
      </c>
      <c r="Z17" s="254">
        <f t="shared" si="13"/>
        <v>0.99789432176656157</v>
      </c>
    </row>
    <row r="18" spans="1:26" ht="21.95" customHeight="1">
      <c r="A18" s="230" t="s">
        <v>34</v>
      </c>
      <c r="B18" s="231" t="s">
        <v>283</v>
      </c>
      <c r="C18" s="232">
        <f t="shared" si="3"/>
        <v>5474683759</v>
      </c>
      <c r="D18" s="232">
        <f>4369200000+101643000</f>
        <v>4470843000</v>
      </c>
      <c r="E18" s="232">
        <f t="shared" si="4"/>
        <v>1003840759</v>
      </c>
      <c r="F18" s="232"/>
      <c r="G18" s="232">
        <f t="shared" si="5"/>
        <v>1003840759</v>
      </c>
      <c r="H18" s="232"/>
      <c r="I18" s="232">
        <v>378840759</v>
      </c>
      <c r="J18" s="232">
        <v>625000000</v>
      </c>
      <c r="K18" s="232">
        <f t="shared" si="2"/>
        <v>5474682759</v>
      </c>
      <c r="L18" s="232">
        <v>4470843000</v>
      </c>
      <c r="M18" s="232">
        <f t="shared" si="6"/>
        <v>1003839759</v>
      </c>
      <c r="N18" s="232"/>
      <c r="O18" s="232">
        <f t="shared" si="7"/>
        <v>1003839759</v>
      </c>
      <c r="P18" s="232"/>
      <c r="Q18" s="232">
        <f>1003839759-R18</f>
        <v>378840759</v>
      </c>
      <c r="R18" s="232">
        <v>624999000</v>
      </c>
      <c r="S18" s="254">
        <f t="shared" si="8"/>
        <v>0.99999981734104759</v>
      </c>
      <c r="T18" s="254">
        <f t="shared" si="9"/>
        <v>1</v>
      </c>
      <c r="U18" s="254">
        <f t="shared" si="10"/>
        <v>0.99999900382606399</v>
      </c>
      <c r="V18" s="254"/>
      <c r="W18" s="254">
        <f>O18/G18</f>
        <v>0.99999900382606399</v>
      </c>
      <c r="X18" s="254"/>
      <c r="Y18" s="254">
        <f t="shared" si="12"/>
        <v>1</v>
      </c>
      <c r="Z18" s="254">
        <f t="shared" si="13"/>
        <v>0.99999839999999995</v>
      </c>
    </row>
    <row r="19" spans="1:26" ht="21.95" customHeight="1">
      <c r="A19" s="230" t="s">
        <v>35</v>
      </c>
      <c r="B19" s="231" t="s">
        <v>289</v>
      </c>
      <c r="C19" s="232">
        <f t="shared" si="3"/>
        <v>5716022400</v>
      </c>
      <c r="D19" s="232">
        <f>4260600000+108124000</f>
        <v>4368724000</v>
      </c>
      <c r="E19" s="232">
        <f t="shared" si="4"/>
        <v>1347298400</v>
      </c>
      <c r="F19" s="232"/>
      <c r="G19" s="232">
        <f t="shared" si="5"/>
        <v>1347298400</v>
      </c>
      <c r="H19" s="232"/>
      <c r="I19" s="232">
        <v>653298400</v>
      </c>
      <c r="J19" s="232">
        <v>694000000</v>
      </c>
      <c r="K19" s="232">
        <f t="shared" si="2"/>
        <v>5711328491</v>
      </c>
      <c r="L19" s="232">
        <v>4368724000</v>
      </c>
      <c r="M19" s="232">
        <f t="shared" si="6"/>
        <v>1342604491</v>
      </c>
      <c r="N19" s="232"/>
      <c r="O19" s="232">
        <f t="shared" si="7"/>
        <v>1342604491</v>
      </c>
      <c r="P19" s="232"/>
      <c r="Q19" s="232">
        <f>1342604491-R19</f>
        <v>649245291</v>
      </c>
      <c r="R19" s="232">
        <v>693359200</v>
      </c>
      <c r="S19" s="254">
        <f t="shared" si="8"/>
        <v>0.99917881549939347</v>
      </c>
      <c r="T19" s="254">
        <f t="shared" si="9"/>
        <v>1</v>
      </c>
      <c r="U19" s="254">
        <f t="shared" si="10"/>
        <v>0.9965160583579703</v>
      </c>
      <c r="V19" s="254"/>
      <c r="W19" s="254">
        <f t="shared" si="11"/>
        <v>0.9965160583579703</v>
      </c>
      <c r="X19" s="254"/>
      <c r="Y19" s="254">
        <f t="shared" si="12"/>
        <v>0.99379593000686972</v>
      </c>
      <c r="Z19" s="254">
        <f t="shared" si="13"/>
        <v>0.99907665706051874</v>
      </c>
    </row>
    <row r="20" spans="1:26" ht="21.95" customHeight="1">
      <c r="A20" s="230" t="s">
        <v>36</v>
      </c>
      <c r="B20" s="231" t="s">
        <v>287</v>
      </c>
      <c r="C20" s="232">
        <f t="shared" si="3"/>
        <v>4962402600</v>
      </c>
      <c r="D20" s="232">
        <f>3735800000+98024000</f>
        <v>3833824000</v>
      </c>
      <c r="E20" s="232">
        <f t="shared" si="4"/>
        <v>1128578600</v>
      </c>
      <c r="F20" s="232"/>
      <c r="G20" s="232">
        <f t="shared" si="5"/>
        <v>1128578600</v>
      </c>
      <c r="H20" s="232"/>
      <c r="I20" s="232">
        <v>530578600</v>
      </c>
      <c r="J20" s="232">
        <v>598000000</v>
      </c>
      <c r="K20" s="232">
        <f t="shared" si="2"/>
        <v>4886058748</v>
      </c>
      <c r="L20" s="232">
        <v>3833824000</v>
      </c>
      <c r="M20" s="232">
        <f t="shared" si="6"/>
        <v>1052234748</v>
      </c>
      <c r="N20" s="232"/>
      <c r="O20" s="232">
        <f t="shared" si="7"/>
        <v>1052234748</v>
      </c>
      <c r="P20" s="232"/>
      <c r="Q20" s="232">
        <f>1052234748-R20</f>
        <v>468490948</v>
      </c>
      <c r="R20" s="232">
        <v>583743800</v>
      </c>
      <c r="S20" s="254">
        <f t="shared" si="8"/>
        <v>0.98461554650966854</v>
      </c>
      <c r="T20" s="254">
        <f t="shared" si="9"/>
        <v>1</v>
      </c>
      <c r="U20" s="254">
        <f t="shared" si="10"/>
        <v>0.93235397871269221</v>
      </c>
      <c r="V20" s="254"/>
      <c r="W20" s="254">
        <f t="shared" si="11"/>
        <v>0.93235397871269221</v>
      </c>
      <c r="X20" s="254"/>
      <c r="Y20" s="254">
        <f t="shared" si="12"/>
        <v>0.88298123595636913</v>
      </c>
      <c r="Z20" s="254">
        <f t="shared" si="13"/>
        <v>0.97616020066889631</v>
      </c>
    </row>
    <row r="21" spans="1:26" ht="21.95" customHeight="1">
      <c r="A21" s="230" t="s">
        <v>37</v>
      </c>
      <c r="B21" s="231" t="s">
        <v>290</v>
      </c>
      <c r="C21" s="232">
        <f t="shared" si="3"/>
        <v>6187731400</v>
      </c>
      <c r="D21" s="232">
        <f>4364500000+101023000</f>
        <v>4465523000</v>
      </c>
      <c r="E21" s="232">
        <f t="shared" si="4"/>
        <v>1722208400</v>
      </c>
      <c r="F21" s="232"/>
      <c r="G21" s="232">
        <f t="shared" si="5"/>
        <v>1722208400</v>
      </c>
      <c r="H21" s="232"/>
      <c r="I21" s="232">
        <v>1022208400</v>
      </c>
      <c r="J21" s="232">
        <v>700000000</v>
      </c>
      <c r="K21" s="232">
        <f t="shared" si="2"/>
        <v>6096021607</v>
      </c>
      <c r="L21" s="232">
        <v>4465523000</v>
      </c>
      <c r="M21" s="232">
        <f t="shared" si="6"/>
        <v>1630498607</v>
      </c>
      <c r="N21" s="232"/>
      <c r="O21" s="232">
        <f t="shared" si="7"/>
        <v>1630498607</v>
      </c>
      <c r="P21" s="232"/>
      <c r="Q21" s="232">
        <f>1630498607-R21</f>
        <v>951338607</v>
      </c>
      <c r="R21" s="232">
        <v>679160000</v>
      </c>
      <c r="S21" s="254">
        <f t="shared" si="8"/>
        <v>0.98517876955680395</v>
      </c>
      <c r="T21" s="254">
        <f t="shared" si="9"/>
        <v>1</v>
      </c>
      <c r="U21" s="254">
        <f t="shared" si="10"/>
        <v>0.94674872506718699</v>
      </c>
      <c r="V21" s="254"/>
      <c r="W21" s="254">
        <f t="shared" si="11"/>
        <v>0.94674872506718699</v>
      </c>
      <c r="X21" s="254"/>
      <c r="Y21" s="254">
        <f t="shared" si="12"/>
        <v>0.93066991721061965</v>
      </c>
      <c r="Z21" s="254">
        <f t="shared" si="13"/>
        <v>0.97022857142857144</v>
      </c>
    </row>
    <row r="22" spans="1:26" ht="21.95" customHeight="1">
      <c r="A22" s="230" t="s">
        <v>38</v>
      </c>
      <c r="B22" s="231" t="s">
        <v>288</v>
      </c>
      <c r="C22" s="232">
        <f t="shared" si="3"/>
        <v>4282124000</v>
      </c>
      <c r="D22" s="232">
        <f>3228200000+81459000+16627000</f>
        <v>3326286000</v>
      </c>
      <c r="E22" s="232">
        <f t="shared" si="4"/>
        <v>955838000</v>
      </c>
      <c r="F22" s="232"/>
      <c r="G22" s="232">
        <f t="shared" si="5"/>
        <v>955838000</v>
      </c>
      <c r="H22" s="232"/>
      <c r="I22" s="232">
        <v>315838000</v>
      </c>
      <c r="J22" s="232">
        <v>640000000</v>
      </c>
      <c r="K22" s="232">
        <f t="shared" si="2"/>
        <v>4216403608</v>
      </c>
      <c r="L22" s="232">
        <v>3326286000</v>
      </c>
      <c r="M22" s="232">
        <f t="shared" si="6"/>
        <v>890117608</v>
      </c>
      <c r="N22" s="232"/>
      <c r="O22" s="232">
        <f t="shared" si="7"/>
        <v>890117608</v>
      </c>
      <c r="P22" s="232"/>
      <c r="Q22" s="232">
        <f>890117608-R22</f>
        <v>252342608</v>
      </c>
      <c r="R22" s="232">
        <v>637775000</v>
      </c>
      <c r="S22" s="254">
        <f t="shared" si="8"/>
        <v>0.98465238465770721</v>
      </c>
      <c r="T22" s="254">
        <f t="shared" si="9"/>
        <v>1</v>
      </c>
      <c r="U22" s="254">
        <f t="shared" si="10"/>
        <v>0.93124316882149483</v>
      </c>
      <c r="V22" s="254"/>
      <c r="W22" s="254">
        <f t="shared" si="11"/>
        <v>0.93124316882149483</v>
      </c>
      <c r="X22" s="254"/>
      <c r="Y22" s="254">
        <f t="shared" si="12"/>
        <v>0.7989621514827222</v>
      </c>
      <c r="Z22" s="254">
        <f t="shared" si="13"/>
        <v>0.99652343750000005</v>
      </c>
    </row>
    <row r="23" spans="1:26" ht="21.95" customHeight="1">
      <c r="A23" s="238" t="s">
        <v>39</v>
      </c>
      <c r="B23" s="233" t="s">
        <v>293</v>
      </c>
      <c r="C23" s="232">
        <f t="shared" si="3"/>
        <v>5199220600</v>
      </c>
      <c r="D23" s="232">
        <f>3485600000+86300000</f>
        <v>3571900000</v>
      </c>
      <c r="E23" s="232">
        <f t="shared" si="4"/>
        <v>1627320600</v>
      </c>
      <c r="F23" s="232"/>
      <c r="G23" s="232">
        <f t="shared" si="5"/>
        <v>1627320600</v>
      </c>
      <c r="H23" s="234"/>
      <c r="I23" s="234">
        <v>479320600</v>
      </c>
      <c r="J23" s="234">
        <v>1148000000</v>
      </c>
      <c r="K23" s="232">
        <f t="shared" si="2"/>
        <v>5167092569</v>
      </c>
      <c r="L23" s="232">
        <v>3571900000</v>
      </c>
      <c r="M23" s="232">
        <f t="shared" si="6"/>
        <v>1595192569</v>
      </c>
      <c r="N23" s="232"/>
      <c r="O23" s="232">
        <f t="shared" si="7"/>
        <v>1595192569</v>
      </c>
      <c r="P23" s="234"/>
      <c r="Q23" s="234">
        <f>1595192569-R23</f>
        <v>454792762</v>
      </c>
      <c r="R23" s="234">
        <v>1140399807</v>
      </c>
      <c r="S23" s="254">
        <f t="shared" si="8"/>
        <v>0.99382060630395253</v>
      </c>
      <c r="T23" s="254">
        <f t="shared" si="9"/>
        <v>1</v>
      </c>
      <c r="U23" s="254">
        <f t="shared" si="10"/>
        <v>0.98025709807889116</v>
      </c>
      <c r="V23" s="254"/>
      <c r="W23" s="254">
        <f t="shared" si="11"/>
        <v>0.98025709807889116</v>
      </c>
      <c r="X23" s="254"/>
      <c r="Y23" s="254">
        <f t="shared" si="12"/>
        <v>0.94882790766764458</v>
      </c>
      <c r="Z23" s="254">
        <f t="shared" si="13"/>
        <v>0.99337962282229963</v>
      </c>
    </row>
    <row r="24" spans="1:26" ht="15" customHeight="1">
      <c r="B24" s="273"/>
      <c r="C24" s="277" t="s">
        <v>522</v>
      </c>
      <c r="D24" s="273"/>
      <c r="E24" s="273"/>
      <c r="F24" s="273"/>
      <c r="G24" s="273"/>
      <c r="H24" s="273"/>
      <c r="I24" s="273"/>
      <c r="J24" s="273"/>
      <c r="K24" s="273"/>
      <c r="L24" s="273"/>
      <c r="M24" s="273"/>
      <c r="N24" s="273"/>
      <c r="O24" s="273"/>
      <c r="P24" s="273"/>
      <c r="Q24" s="273"/>
      <c r="R24" s="273"/>
      <c r="S24" s="273"/>
      <c r="T24" s="273"/>
      <c r="U24" s="273"/>
      <c r="V24" s="273"/>
      <c r="W24" s="273"/>
      <c r="X24" s="273"/>
      <c r="Y24" s="273"/>
      <c r="Z24" s="273"/>
    </row>
    <row r="25" spans="1:26">
      <c r="A25" s="353" t="s">
        <v>0</v>
      </c>
      <c r="B25" s="353"/>
      <c r="C25" s="353"/>
      <c r="D25" s="353"/>
      <c r="E25" s="353"/>
      <c r="F25" s="353"/>
      <c r="G25" s="353"/>
      <c r="H25" s="353"/>
      <c r="I25" s="353"/>
      <c r="J25" s="353"/>
      <c r="K25" s="353"/>
      <c r="L25" s="353"/>
      <c r="M25" s="353"/>
      <c r="N25" s="353"/>
      <c r="O25" s="353"/>
      <c r="P25" s="353"/>
      <c r="Q25" s="353"/>
      <c r="R25" s="353"/>
      <c r="S25" s="353"/>
      <c r="T25" s="353"/>
      <c r="U25" s="353"/>
      <c r="V25" s="353"/>
      <c r="W25" s="353"/>
      <c r="X25" s="353"/>
      <c r="Y25" s="353"/>
    </row>
    <row r="26" spans="1:26">
      <c r="A26" s="353" t="s">
        <v>0</v>
      </c>
      <c r="B26" s="353"/>
      <c r="C26" s="353"/>
      <c r="D26" s="353"/>
      <c r="E26" s="353"/>
      <c r="F26" s="353"/>
      <c r="G26" s="353"/>
      <c r="H26" s="353"/>
      <c r="I26" s="353"/>
      <c r="J26" s="353"/>
      <c r="K26" s="353"/>
      <c r="L26" s="353"/>
      <c r="M26" s="353"/>
      <c r="N26" s="353"/>
      <c r="O26" s="353"/>
      <c r="P26" s="353"/>
      <c r="Q26" s="353"/>
      <c r="R26" s="353"/>
      <c r="S26" s="353"/>
      <c r="T26" s="353"/>
      <c r="U26" s="353"/>
      <c r="V26" s="353"/>
      <c r="W26" s="353"/>
      <c r="X26" s="353"/>
      <c r="Y26" s="353"/>
    </row>
  </sheetData>
  <mergeCells count="34">
    <mergeCell ref="K7:K9"/>
    <mergeCell ref="A25:Y25"/>
    <mergeCell ref="A26:Y26"/>
    <mergeCell ref="U8:U9"/>
    <mergeCell ref="V8:W8"/>
    <mergeCell ref="X8:X9"/>
    <mergeCell ref="Y8:Y9"/>
    <mergeCell ref="L7:L9"/>
    <mergeCell ref="M7:R7"/>
    <mergeCell ref="P8:P9"/>
    <mergeCell ref="Q8:Q9"/>
    <mergeCell ref="R8:R9"/>
    <mergeCell ref="A6:A9"/>
    <mergeCell ref="B6:B9"/>
    <mergeCell ref="C6:J6"/>
    <mergeCell ref="K6:R6"/>
    <mergeCell ref="S6:Z6"/>
    <mergeCell ref="E7:J7"/>
    <mergeCell ref="A5:Z5"/>
    <mergeCell ref="C3:L3"/>
    <mergeCell ref="C4:L4"/>
    <mergeCell ref="Z8:Z9"/>
    <mergeCell ref="S7:S9"/>
    <mergeCell ref="T7:T9"/>
    <mergeCell ref="U7:Z7"/>
    <mergeCell ref="E8:E9"/>
    <mergeCell ref="F8:G8"/>
    <mergeCell ref="H8:H9"/>
    <mergeCell ref="I8:I9"/>
    <mergeCell ref="J8:J9"/>
    <mergeCell ref="M8:M9"/>
    <mergeCell ref="N8:O8"/>
    <mergeCell ref="C7:C9"/>
    <mergeCell ref="D7:D9"/>
  </mergeCells>
  <pageMargins left="0.71" right="0.16" top="0.75" bottom="0.62" header="0.3" footer="0.3"/>
  <pageSetup paperSize="9" scale="80" orientation="landscape" verticalDpi="0" r:id="rId1"/>
  <headerFooter>
    <oddFooter>&amp;C&amp;P/&amp;N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47"/>
  <sheetViews>
    <sheetView showGridLines="0" view="pageBreakPreview" topLeftCell="V1" zoomScaleNormal="130" zoomScaleSheetLayoutView="100" workbookViewId="0">
      <selection activeCell="W14" sqref="W14"/>
    </sheetView>
  </sheetViews>
  <sheetFormatPr defaultRowHeight="15" outlineLevelRow="1"/>
  <cols>
    <col min="1" max="1" width="4.5703125" style="228" customWidth="1"/>
    <col min="2" max="2" width="28.140625" style="228" customWidth="1"/>
    <col min="3" max="3" width="15.42578125" style="228" bestFit="1" customWidth="1"/>
    <col min="4" max="5" width="15.28515625" style="228" customWidth="1"/>
    <col min="6" max="6" width="15.42578125" style="292" bestFit="1" customWidth="1"/>
    <col min="7" max="8" width="15" style="292" bestFit="1" customWidth="1"/>
    <col min="9" max="9" width="10" style="292" customWidth="1"/>
    <col min="10" max="10" width="14.42578125" style="292" bestFit="1" customWidth="1"/>
    <col min="11" max="11" width="14.85546875" style="292" customWidth="1"/>
    <col min="12" max="12" width="10.140625" style="292" customWidth="1"/>
    <col min="13" max="14" width="15.42578125" style="228" bestFit="1" customWidth="1"/>
    <col min="15" max="15" width="15.85546875" style="228" customWidth="1"/>
    <col min="16" max="16" width="7.42578125" style="228" customWidth="1"/>
    <col min="17" max="18" width="14.28515625" style="228" bestFit="1" customWidth="1"/>
    <col min="19" max="19" width="7.42578125" style="228" customWidth="1"/>
    <col min="20" max="21" width="16.140625" style="228" bestFit="1" customWidth="1"/>
    <col min="22" max="22" width="14.85546875" style="228" bestFit="1" customWidth="1"/>
    <col min="23" max="23" width="16.140625" style="228" bestFit="1" customWidth="1"/>
    <col min="24" max="25" width="16.140625" style="292" bestFit="1" customWidth="1"/>
    <col min="26" max="26" width="7.42578125" style="292" customWidth="1"/>
    <col min="27" max="28" width="14.85546875" style="292" bestFit="1" customWidth="1"/>
    <col min="29" max="29" width="7.42578125" style="292" customWidth="1"/>
    <col min="30" max="30" width="16.7109375" style="228" customWidth="1"/>
    <col min="31" max="32" width="16.140625" style="228" bestFit="1" customWidth="1"/>
    <col min="33" max="33" width="7.42578125" style="228" customWidth="1"/>
    <col min="34" max="35" width="14.85546875" style="228" bestFit="1" customWidth="1"/>
    <col min="36" max="36" width="7.42578125" style="228" customWidth="1"/>
    <col min="37" max="37" width="10.28515625" style="228" customWidth="1"/>
    <col min="38" max="38" width="11.28515625" style="228" customWidth="1"/>
    <col min="39" max="39" width="10" style="228" customWidth="1"/>
    <col min="40" max="40" width="10.5703125" style="228" customWidth="1"/>
    <col min="41" max="41" width="10.42578125" style="228" customWidth="1"/>
    <col min="42" max="42" width="11.140625" style="228" bestFit="1" customWidth="1"/>
    <col min="43" max="43" width="9.5703125" style="228" customWidth="1"/>
    <col min="44" max="44" width="9.85546875" style="228" customWidth="1"/>
    <col min="45" max="45" width="12.140625" style="228" customWidth="1"/>
    <col min="46" max="46" width="10.140625" style="228" customWidth="1"/>
    <col min="47" max="48" width="10" style="228" bestFit="1" customWidth="1"/>
    <col min="49" max="49" width="11.7109375" style="228" customWidth="1"/>
    <col min="50" max="50" width="8.42578125" style="228" customWidth="1"/>
    <col min="51" max="51" width="11.5703125" style="228" customWidth="1"/>
    <col min="52" max="52" width="11.7109375" style="228" customWidth="1"/>
    <col min="53" max="53" width="9" style="228" customWidth="1"/>
    <col min="54" max="54" width="9.140625" style="228" customWidth="1"/>
    <col min="55" max="16384" width="9.140625" style="228"/>
  </cols>
  <sheetData>
    <row r="1" spans="1:53" ht="15" customHeight="1">
      <c r="A1" s="251" t="s">
        <v>148</v>
      </c>
      <c r="B1" s="298"/>
      <c r="C1" s="298"/>
      <c r="D1" s="298"/>
      <c r="E1" s="298"/>
      <c r="F1" s="299"/>
      <c r="G1" s="299"/>
      <c r="H1" s="299"/>
      <c r="I1" s="299"/>
      <c r="J1" s="299"/>
      <c r="K1" s="299"/>
      <c r="L1" s="299"/>
      <c r="M1" s="298"/>
      <c r="N1" s="298"/>
      <c r="O1" s="298"/>
      <c r="P1" s="298"/>
      <c r="Q1" s="298"/>
      <c r="R1" s="298"/>
      <c r="S1" s="298"/>
      <c r="T1" s="298"/>
      <c r="U1" s="298"/>
      <c r="V1" s="298"/>
      <c r="W1" s="298"/>
      <c r="X1" s="299"/>
      <c r="Y1" s="299"/>
      <c r="Z1" s="299"/>
      <c r="AA1" s="299"/>
      <c r="AB1" s="299"/>
      <c r="AC1" s="299"/>
      <c r="AD1" s="298"/>
      <c r="AE1" s="298"/>
      <c r="AF1" s="298"/>
      <c r="AG1" s="298"/>
      <c r="AH1" s="298"/>
      <c r="AI1" s="298"/>
      <c r="AJ1" s="298"/>
      <c r="AK1" s="298"/>
      <c r="AL1" s="298"/>
      <c r="AM1" s="298"/>
      <c r="AN1" s="298"/>
      <c r="AO1" s="298"/>
      <c r="AP1" s="298"/>
      <c r="AQ1" s="298"/>
      <c r="AR1" s="298"/>
      <c r="AS1" s="298"/>
      <c r="AT1" s="298"/>
      <c r="AU1" s="298"/>
      <c r="AV1" s="298"/>
      <c r="AW1" s="298"/>
      <c r="AX1" s="298"/>
      <c r="AY1" s="298"/>
      <c r="AZ1" s="298"/>
      <c r="BA1" s="298"/>
    </row>
    <row r="2" spans="1:53">
      <c r="A2" s="298"/>
      <c r="B2" s="298"/>
      <c r="C2" s="298"/>
      <c r="D2" s="298"/>
      <c r="E2" s="298"/>
      <c r="F2" s="299"/>
      <c r="G2" s="299"/>
      <c r="H2" s="299"/>
      <c r="I2" s="299"/>
      <c r="J2" s="299"/>
      <c r="K2" s="299"/>
      <c r="L2" s="299"/>
      <c r="M2" s="298"/>
      <c r="N2" s="298"/>
      <c r="O2" s="298"/>
      <c r="P2" s="298"/>
      <c r="Q2" s="298"/>
      <c r="R2" s="298"/>
      <c r="S2" s="298"/>
      <c r="T2" s="298"/>
      <c r="U2" s="298"/>
      <c r="V2" s="298"/>
      <c r="W2" s="298"/>
      <c r="X2" s="299"/>
      <c r="Y2" s="299"/>
      <c r="Z2" s="299"/>
      <c r="AA2" s="299"/>
      <c r="AB2" s="299"/>
      <c r="AC2" s="299"/>
      <c r="AD2" s="298"/>
      <c r="AE2" s="298"/>
      <c r="AF2" s="298"/>
      <c r="AG2" s="298"/>
      <c r="AH2" s="298"/>
      <c r="AI2" s="298"/>
      <c r="AJ2" s="298"/>
      <c r="AK2" s="298"/>
      <c r="AL2" s="298"/>
      <c r="AM2" s="298"/>
      <c r="AN2" s="298"/>
      <c r="AO2" s="298"/>
      <c r="AP2" s="298"/>
      <c r="AQ2" s="298"/>
      <c r="AR2" s="298"/>
      <c r="AS2" s="298"/>
      <c r="AT2" s="298"/>
      <c r="AU2" s="298"/>
      <c r="AV2" s="298"/>
      <c r="AW2" s="298"/>
      <c r="AX2" s="298"/>
      <c r="AY2" s="298"/>
      <c r="AZ2" s="298"/>
      <c r="BA2" s="298"/>
    </row>
    <row r="3" spans="1:53" ht="19.5" customHeight="1">
      <c r="B3" s="250"/>
      <c r="C3" s="341" t="s">
        <v>149</v>
      </c>
      <c r="D3" s="341"/>
      <c r="E3" s="341"/>
      <c r="F3" s="341"/>
      <c r="G3" s="341"/>
      <c r="H3" s="341"/>
      <c r="I3" s="341"/>
      <c r="J3" s="341"/>
      <c r="K3" s="341"/>
      <c r="L3" s="341"/>
      <c r="M3" s="359"/>
      <c r="N3" s="359"/>
      <c r="O3" s="359"/>
      <c r="P3" s="359"/>
      <c r="Q3" s="359"/>
      <c r="R3" s="359"/>
      <c r="S3" s="359"/>
      <c r="T3" s="359"/>
      <c r="U3" s="359"/>
      <c r="V3" s="359"/>
      <c r="W3" s="359"/>
      <c r="X3" s="359"/>
      <c r="Y3" s="359"/>
      <c r="Z3" s="359"/>
      <c r="AA3" s="359"/>
      <c r="AB3" s="359"/>
      <c r="AC3" s="359"/>
      <c r="AD3" s="359"/>
      <c r="AE3" s="359"/>
      <c r="AF3" s="359"/>
      <c r="AG3" s="359"/>
      <c r="AH3" s="359"/>
      <c r="AI3" s="359"/>
      <c r="AJ3" s="359"/>
      <c r="AK3" s="359"/>
      <c r="AL3" s="359"/>
      <c r="AM3" s="359"/>
      <c r="AN3" s="359"/>
      <c r="AO3" s="359"/>
      <c r="AP3" s="359"/>
      <c r="AQ3" s="359"/>
      <c r="AR3" s="359"/>
      <c r="AS3" s="359"/>
      <c r="AT3" s="359"/>
      <c r="AU3" s="250"/>
      <c r="AV3" s="250"/>
      <c r="AW3" s="250"/>
      <c r="AX3" s="250"/>
      <c r="AY3" s="250"/>
      <c r="AZ3" s="250"/>
      <c r="BA3" s="250"/>
    </row>
    <row r="4" spans="1:53" ht="18">
      <c r="B4" s="250"/>
      <c r="C4" s="341" t="s">
        <v>2</v>
      </c>
      <c r="D4" s="341"/>
      <c r="E4" s="341"/>
      <c r="F4" s="341"/>
      <c r="G4" s="341"/>
      <c r="H4" s="341"/>
      <c r="I4" s="341"/>
      <c r="J4" s="341"/>
      <c r="K4" s="341"/>
      <c r="L4" s="341"/>
      <c r="M4" s="359"/>
      <c r="N4" s="359"/>
      <c r="O4" s="359"/>
      <c r="P4" s="359"/>
      <c r="Q4" s="359"/>
      <c r="R4" s="359"/>
      <c r="S4" s="359"/>
      <c r="T4" s="359"/>
      <c r="U4" s="359"/>
      <c r="V4" s="359"/>
      <c r="W4" s="359"/>
      <c r="X4" s="359"/>
      <c r="Y4" s="359"/>
      <c r="Z4" s="359"/>
      <c r="AA4" s="359"/>
      <c r="AB4" s="359"/>
      <c r="AC4" s="359"/>
      <c r="AD4" s="359"/>
      <c r="AE4" s="359"/>
      <c r="AF4" s="359"/>
      <c r="AG4" s="359"/>
      <c r="AH4" s="359"/>
      <c r="AI4" s="359"/>
      <c r="AJ4" s="359"/>
      <c r="AK4" s="359"/>
      <c r="AL4" s="359"/>
      <c r="AM4" s="359"/>
      <c r="AN4" s="359"/>
      <c r="AO4" s="359"/>
      <c r="AP4" s="359"/>
      <c r="AQ4" s="359"/>
      <c r="AR4" s="359"/>
      <c r="AS4" s="359"/>
      <c r="AT4" s="359"/>
      <c r="AU4" s="250"/>
      <c r="AV4" s="250"/>
      <c r="AW4" s="250"/>
      <c r="AX4" s="250"/>
      <c r="AY4" s="250"/>
      <c r="AZ4" s="250"/>
      <c r="BA4" s="250"/>
    </row>
    <row r="5" spans="1:53">
      <c r="F5" s="228"/>
      <c r="G5" s="228"/>
      <c r="H5" s="228"/>
      <c r="I5" s="228"/>
      <c r="J5" s="228"/>
      <c r="K5" s="228"/>
      <c r="L5" s="228"/>
    </row>
    <row r="6" spans="1:53" ht="15" customHeight="1">
      <c r="B6" s="300"/>
      <c r="C6" s="300"/>
      <c r="D6" s="300"/>
      <c r="E6" s="300"/>
      <c r="F6" s="301"/>
      <c r="G6" s="301"/>
      <c r="H6" s="301"/>
      <c r="I6" s="301"/>
      <c r="J6" s="301"/>
      <c r="K6" s="301"/>
      <c r="L6" s="301"/>
      <c r="M6" s="300"/>
      <c r="N6" s="300"/>
      <c r="O6" s="300"/>
      <c r="P6" s="300"/>
      <c r="Q6" s="300"/>
      <c r="R6" s="300"/>
      <c r="S6" s="300"/>
      <c r="T6" s="300"/>
      <c r="U6" s="300"/>
      <c r="V6" s="300"/>
      <c r="W6" s="300"/>
      <c r="X6" s="301"/>
      <c r="Y6" s="301"/>
      <c r="Z6" s="301"/>
      <c r="AA6" s="301"/>
      <c r="AB6" s="301"/>
      <c r="AC6" s="301"/>
      <c r="AD6" s="300"/>
      <c r="AE6" s="300"/>
      <c r="AF6" s="300"/>
      <c r="AG6" s="300"/>
      <c r="AH6" s="300"/>
      <c r="AI6" s="300"/>
      <c r="AJ6" s="300"/>
      <c r="AK6" s="300"/>
      <c r="AL6" s="300"/>
      <c r="AM6" s="300"/>
      <c r="AN6" s="300"/>
      <c r="AO6" s="300"/>
      <c r="AP6" s="300"/>
      <c r="AQ6" s="300"/>
      <c r="AR6" s="300"/>
      <c r="AS6" s="300"/>
      <c r="AT6" s="300"/>
      <c r="AU6" s="300"/>
      <c r="AV6" s="300"/>
      <c r="AW6" s="300"/>
      <c r="AX6" s="300"/>
      <c r="AY6" s="300"/>
      <c r="AZ6" s="300"/>
      <c r="BA6" s="300"/>
    </row>
    <row r="7" spans="1:53">
      <c r="A7" s="302"/>
      <c r="B7" s="302"/>
      <c r="C7" s="302"/>
      <c r="D7" s="302"/>
      <c r="E7" s="302"/>
      <c r="F7" s="303"/>
      <c r="G7" s="303"/>
      <c r="H7" s="303"/>
      <c r="I7" s="303"/>
      <c r="J7" s="303"/>
      <c r="K7" s="303"/>
      <c r="L7" s="303"/>
      <c r="M7" s="302"/>
      <c r="N7" s="302"/>
      <c r="O7" s="302"/>
      <c r="P7" s="302"/>
      <c r="Q7" s="302"/>
      <c r="R7" s="302"/>
      <c r="S7" s="302"/>
      <c r="T7" s="302"/>
      <c r="U7" s="302"/>
      <c r="V7" s="302"/>
      <c r="W7" s="302"/>
      <c r="X7" s="303"/>
      <c r="Y7" s="303"/>
      <c r="Z7" s="303"/>
      <c r="AA7" s="303"/>
      <c r="AB7" s="303"/>
      <c r="AC7" s="303"/>
      <c r="AD7" s="302"/>
      <c r="AE7" s="302"/>
      <c r="AF7" s="302"/>
      <c r="AG7" s="302"/>
      <c r="AH7" s="302"/>
      <c r="AI7" s="302"/>
      <c r="AJ7" s="302"/>
      <c r="AK7" s="302"/>
      <c r="AL7" s="302"/>
      <c r="AM7" s="302"/>
      <c r="AN7" s="302"/>
      <c r="AO7" s="302"/>
      <c r="AP7" s="302"/>
      <c r="AQ7" s="302"/>
      <c r="AR7" s="302"/>
      <c r="AS7" s="302"/>
      <c r="AT7" s="302"/>
      <c r="AU7" s="302"/>
      <c r="AV7" s="302"/>
      <c r="AW7" s="302"/>
      <c r="AX7" s="297" t="s">
        <v>3</v>
      </c>
      <c r="AY7" s="297"/>
      <c r="AZ7" s="297"/>
      <c r="BA7" s="297"/>
    </row>
    <row r="8" spans="1:53" ht="18.75" customHeight="1">
      <c r="A8" s="345" t="s">
        <v>182</v>
      </c>
      <c r="B8" s="345" t="s">
        <v>183</v>
      </c>
      <c r="C8" s="345" t="s">
        <v>6</v>
      </c>
      <c r="D8" s="345"/>
      <c r="E8" s="345"/>
      <c r="F8" s="345"/>
      <c r="G8" s="345"/>
      <c r="H8" s="345"/>
      <c r="I8" s="345"/>
      <c r="J8" s="345"/>
      <c r="K8" s="345"/>
      <c r="L8" s="345"/>
      <c r="M8" s="345"/>
      <c r="N8" s="345"/>
      <c r="O8" s="345"/>
      <c r="P8" s="345"/>
      <c r="Q8" s="345"/>
      <c r="R8" s="345"/>
      <c r="S8" s="345"/>
      <c r="T8" s="345" t="s">
        <v>7</v>
      </c>
      <c r="U8" s="345"/>
      <c r="V8" s="345"/>
      <c r="W8" s="345"/>
      <c r="X8" s="345"/>
      <c r="Y8" s="345"/>
      <c r="Z8" s="345"/>
      <c r="AA8" s="345"/>
      <c r="AB8" s="345"/>
      <c r="AC8" s="345"/>
      <c r="AD8" s="345"/>
      <c r="AE8" s="345"/>
      <c r="AF8" s="345"/>
      <c r="AG8" s="345"/>
      <c r="AH8" s="345"/>
      <c r="AI8" s="345"/>
      <c r="AJ8" s="345"/>
      <c r="AK8" s="345" t="s">
        <v>150</v>
      </c>
      <c r="AL8" s="345"/>
      <c r="AM8" s="345"/>
      <c r="AN8" s="345"/>
      <c r="AO8" s="345"/>
      <c r="AP8" s="345"/>
      <c r="AQ8" s="345"/>
      <c r="AR8" s="345"/>
      <c r="AS8" s="345"/>
      <c r="AT8" s="345"/>
      <c r="AU8" s="345"/>
      <c r="AV8" s="345"/>
      <c r="AW8" s="345"/>
      <c r="AX8" s="345"/>
      <c r="AY8" s="345"/>
      <c r="AZ8" s="345"/>
      <c r="BA8" s="345"/>
    </row>
    <row r="9" spans="1:53" ht="18.75" customHeight="1">
      <c r="A9" s="345"/>
      <c r="B9" s="345"/>
      <c r="C9" s="345" t="s">
        <v>78</v>
      </c>
      <c r="D9" s="345" t="s">
        <v>115</v>
      </c>
      <c r="E9" s="345"/>
      <c r="F9" s="357" t="s">
        <v>151</v>
      </c>
      <c r="G9" s="357"/>
      <c r="H9" s="357"/>
      <c r="I9" s="357"/>
      <c r="J9" s="357"/>
      <c r="K9" s="357"/>
      <c r="L9" s="357"/>
      <c r="M9" s="345" t="s">
        <v>152</v>
      </c>
      <c r="N9" s="345"/>
      <c r="O9" s="345"/>
      <c r="P9" s="345"/>
      <c r="Q9" s="345"/>
      <c r="R9" s="345"/>
      <c r="S9" s="345"/>
      <c r="T9" s="345" t="s">
        <v>78</v>
      </c>
      <c r="U9" s="345" t="s">
        <v>115</v>
      </c>
      <c r="V9" s="345"/>
      <c r="W9" s="345" t="s">
        <v>151</v>
      </c>
      <c r="X9" s="345"/>
      <c r="Y9" s="345"/>
      <c r="Z9" s="345"/>
      <c r="AA9" s="345"/>
      <c r="AB9" s="345"/>
      <c r="AC9" s="345"/>
      <c r="AD9" s="354" t="s">
        <v>152</v>
      </c>
      <c r="AE9" s="355"/>
      <c r="AF9" s="355"/>
      <c r="AG9" s="356"/>
      <c r="AH9" s="354"/>
      <c r="AI9" s="355"/>
      <c r="AJ9" s="356"/>
      <c r="AK9" s="345" t="s">
        <v>78</v>
      </c>
      <c r="AL9" s="345" t="s">
        <v>115</v>
      </c>
      <c r="AM9" s="345"/>
      <c r="AN9" s="345" t="s">
        <v>151</v>
      </c>
      <c r="AO9" s="345"/>
      <c r="AP9" s="345"/>
      <c r="AQ9" s="345"/>
      <c r="AR9" s="345"/>
      <c r="AS9" s="345"/>
      <c r="AT9" s="345"/>
      <c r="AU9" s="345" t="s">
        <v>152</v>
      </c>
      <c r="AV9" s="345"/>
      <c r="AW9" s="345"/>
      <c r="AX9" s="345"/>
      <c r="AY9" s="345"/>
      <c r="AZ9" s="345"/>
      <c r="BA9" s="345"/>
    </row>
    <row r="10" spans="1:53" ht="18.75" customHeight="1">
      <c r="A10" s="345"/>
      <c r="B10" s="345"/>
      <c r="C10" s="345"/>
      <c r="D10" s="345" t="s">
        <v>153</v>
      </c>
      <c r="E10" s="345" t="s">
        <v>154</v>
      </c>
      <c r="F10" s="357" t="s">
        <v>78</v>
      </c>
      <c r="G10" s="357" t="s">
        <v>12</v>
      </c>
      <c r="H10" s="357"/>
      <c r="I10" s="357"/>
      <c r="J10" s="357" t="s">
        <v>154</v>
      </c>
      <c r="K10" s="357"/>
      <c r="L10" s="357"/>
      <c r="M10" s="345" t="s">
        <v>78</v>
      </c>
      <c r="N10" s="345" t="s">
        <v>12</v>
      </c>
      <c r="O10" s="345"/>
      <c r="P10" s="345"/>
      <c r="Q10" s="345" t="s">
        <v>154</v>
      </c>
      <c r="R10" s="345"/>
      <c r="S10" s="345"/>
      <c r="T10" s="345"/>
      <c r="U10" s="345" t="s">
        <v>153</v>
      </c>
      <c r="V10" s="345" t="s">
        <v>154</v>
      </c>
      <c r="W10" s="345" t="s">
        <v>78</v>
      </c>
      <c r="X10" s="357" t="s">
        <v>12</v>
      </c>
      <c r="Y10" s="357"/>
      <c r="Z10" s="357"/>
      <c r="AA10" s="357" t="s">
        <v>154</v>
      </c>
      <c r="AB10" s="357"/>
      <c r="AC10" s="357"/>
      <c r="AD10" s="345" t="s">
        <v>78</v>
      </c>
      <c r="AE10" s="345" t="s">
        <v>12</v>
      </c>
      <c r="AF10" s="345"/>
      <c r="AG10" s="345"/>
      <c r="AH10" s="345" t="s">
        <v>154</v>
      </c>
      <c r="AI10" s="345"/>
      <c r="AJ10" s="345"/>
      <c r="AK10" s="345"/>
      <c r="AL10" s="345" t="s">
        <v>153</v>
      </c>
      <c r="AM10" s="345" t="s">
        <v>154</v>
      </c>
      <c r="AN10" s="345" t="s">
        <v>78</v>
      </c>
      <c r="AO10" s="345" t="s">
        <v>12</v>
      </c>
      <c r="AP10" s="345"/>
      <c r="AQ10" s="345"/>
      <c r="AR10" s="345" t="s">
        <v>154</v>
      </c>
      <c r="AS10" s="345"/>
      <c r="AT10" s="345"/>
      <c r="AU10" s="345" t="s">
        <v>78</v>
      </c>
      <c r="AV10" s="345" t="s">
        <v>12</v>
      </c>
      <c r="AW10" s="345"/>
      <c r="AX10" s="345"/>
      <c r="AY10" s="345" t="s">
        <v>154</v>
      </c>
      <c r="AZ10" s="345"/>
      <c r="BA10" s="345"/>
    </row>
    <row r="11" spans="1:53" ht="18.75" customHeight="1">
      <c r="A11" s="345"/>
      <c r="B11" s="345"/>
      <c r="C11" s="345"/>
      <c r="D11" s="345"/>
      <c r="E11" s="345"/>
      <c r="F11" s="357"/>
      <c r="G11" s="357" t="s">
        <v>78</v>
      </c>
      <c r="H11" s="357" t="s">
        <v>155</v>
      </c>
      <c r="I11" s="357"/>
      <c r="J11" s="357" t="s">
        <v>78</v>
      </c>
      <c r="K11" s="357" t="s">
        <v>155</v>
      </c>
      <c r="L11" s="357"/>
      <c r="M11" s="345"/>
      <c r="N11" s="345" t="s">
        <v>78</v>
      </c>
      <c r="O11" s="345" t="s">
        <v>155</v>
      </c>
      <c r="P11" s="345"/>
      <c r="Q11" s="345" t="s">
        <v>78</v>
      </c>
      <c r="R11" s="345" t="s">
        <v>155</v>
      </c>
      <c r="S11" s="345"/>
      <c r="T11" s="345"/>
      <c r="U11" s="345"/>
      <c r="V11" s="345"/>
      <c r="W11" s="345"/>
      <c r="X11" s="357" t="s">
        <v>78</v>
      </c>
      <c r="Y11" s="357" t="s">
        <v>155</v>
      </c>
      <c r="Z11" s="357"/>
      <c r="AA11" s="357" t="s">
        <v>78</v>
      </c>
      <c r="AB11" s="357" t="s">
        <v>155</v>
      </c>
      <c r="AC11" s="357"/>
      <c r="AD11" s="345"/>
      <c r="AE11" s="345" t="s">
        <v>78</v>
      </c>
      <c r="AF11" s="345" t="s">
        <v>155</v>
      </c>
      <c r="AG11" s="345"/>
      <c r="AH11" s="345" t="s">
        <v>78</v>
      </c>
      <c r="AI11" s="345" t="s">
        <v>155</v>
      </c>
      <c r="AJ11" s="345"/>
      <c r="AK11" s="345"/>
      <c r="AL11" s="345"/>
      <c r="AM11" s="345"/>
      <c r="AN11" s="345"/>
      <c r="AO11" s="345" t="s">
        <v>78</v>
      </c>
      <c r="AP11" s="345" t="s">
        <v>155</v>
      </c>
      <c r="AQ11" s="345"/>
      <c r="AR11" s="345" t="s">
        <v>78</v>
      </c>
      <c r="AS11" s="345" t="s">
        <v>155</v>
      </c>
      <c r="AT11" s="345"/>
      <c r="AU11" s="345"/>
      <c r="AV11" s="345" t="s">
        <v>78</v>
      </c>
      <c r="AW11" s="345" t="s">
        <v>155</v>
      </c>
      <c r="AX11" s="345"/>
      <c r="AY11" s="345" t="s">
        <v>78</v>
      </c>
      <c r="AZ11" s="345" t="s">
        <v>155</v>
      </c>
      <c r="BA11" s="345"/>
    </row>
    <row r="12" spans="1:53" ht="50.25" customHeight="1">
      <c r="A12" s="345"/>
      <c r="B12" s="345"/>
      <c r="C12" s="345"/>
      <c r="D12" s="345"/>
      <c r="E12" s="345"/>
      <c r="F12" s="357"/>
      <c r="G12" s="357"/>
      <c r="H12" s="287" t="s">
        <v>137</v>
      </c>
      <c r="I12" s="287" t="s">
        <v>136</v>
      </c>
      <c r="J12" s="357"/>
      <c r="K12" s="287" t="s">
        <v>137</v>
      </c>
      <c r="L12" s="287" t="s">
        <v>136</v>
      </c>
      <c r="M12" s="345"/>
      <c r="N12" s="345"/>
      <c r="O12" s="229" t="s">
        <v>137</v>
      </c>
      <c r="P12" s="229" t="s">
        <v>136</v>
      </c>
      <c r="Q12" s="345"/>
      <c r="R12" s="229" t="s">
        <v>137</v>
      </c>
      <c r="S12" s="229" t="s">
        <v>136</v>
      </c>
      <c r="T12" s="345"/>
      <c r="U12" s="345"/>
      <c r="V12" s="345"/>
      <c r="W12" s="345"/>
      <c r="X12" s="357"/>
      <c r="Y12" s="287" t="s">
        <v>137</v>
      </c>
      <c r="Z12" s="287" t="s">
        <v>136</v>
      </c>
      <c r="AA12" s="357"/>
      <c r="AB12" s="287" t="s">
        <v>137</v>
      </c>
      <c r="AC12" s="287" t="s">
        <v>136</v>
      </c>
      <c r="AD12" s="345"/>
      <c r="AE12" s="345"/>
      <c r="AF12" s="229" t="s">
        <v>137</v>
      </c>
      <c r="AG12" s="229" t="s">
        <v>136</v>
      </c>
      <c r="AH12" s="345"/>
      <c r="AI12" s="229" t="s">
        <v>137</v>
      </c>
      <c r="AJ12" s="229" t="s">
        <v>136</v>
      </c>
      <c r="AK12" s="345"/>
      <c r="AL12" s="345"/>
      <c r="AM12" s="345"/>
      <c r="AN12" s="345"/>
      <c r="AO12" s="345"/>
      <c r="AP12" s="229" t="s">
        <v>137</v>
      </c>
      <c r="AQ12" s="229" t="s">
        <v>136</v>
      </c>
      <c r="AR12" s="345"/>
      <c r="AS12" s="229" t="s">
        <v>137</v>
      </c>
      <c r="AT12" s="229" t="s">
        <v>136</v>
      </c>
      <c r="AU12" s="345"/>
      <c r="AV12" s="345"/>
      <c r="AW12" s="229" t="s">
        <v>137</v>
      </c>
      <c r="AX12" s="229" t="s">
        <v>136</v>
      </c>
      <c r="AY12" s="345"/>
      <c r="AZ12" s="229" t="s">
        <v>137</v>
      </c>
      <c r="BA12" s="229" t="s">
        <v>136</v>
      </c>
    </row>
    <row r="13" spans="1:53" ht="15" customHeight="1">
      <c r="A13" s="268" t="s">
        <v>9</v>
      </c>
      <c r="B13" s="268" t="s">
        <v>26</v>
      </c>
      <c r="C13" s="268" t="s">
        <v>13</v>
      </c>
      <c r="D13" s="268" t="s">
        <v>21</v>
      </c>
      <c r="E13" s="268" t="s">
        <v>30</v>
      </c>
      <c r="F13" s="288" t="s">
        <v>31</v>
      </c>
      <c r="G13" s="288" t="s">
        <v>32</v>
      </c>
      <c r="H13" s="288" t="s">
        <v>33</v>
      </c>
      <c r="I13" s="288" t="s">
        <v>34</v>
      </c>
      <c r="J13" s="288" t="s">
        <v>35</v>
      </c>
      <c r="K13" s="288" t="s">
        <v>36</v>
      </c>
      <c r="L13" s="288" t="s">
        <v>37</v>
      </c>
      <c r="M13" s="268" t="s">
        <v>38</v>
      </c>
      <c r="N13" s="268" t="s">
        <v>39</v>
      </c>
      <c r="O13" s="268" t="s">
        <v>40</v>
      </c>
      <c r="P13" s="268" t="s">
        <v>41</v>
      </c>
      <c r="Q13" s="268" t="s">
        <v>42</v>
      </c>
      <c r="R13" s="268" t="s">
        <v>43</v>
      </c>
      <c r="S13" s="268" t="s">
        <v>81</v>
      </c>
      <c r="T13" s="268" t="s">
        <v>82</v>
      </c>
      <c r="U13" s="268" t="s">
        <v>83</v>
      </c>
      <c r="V13" s="268" t="s">
        <v>84</v>
      </c>
      <c r="W13" s="268" t="s">
        <v>85</v>
      </c>
      <c r="X13" s="288" t="s">
        <v>86</v>
      </c>
      <c r="Y13" s="288" t="s">
        <v>87</v>
      </c>
      <c r="Z13" s="288" t="s">
        <v>88</v>
      </c>
      <c r="AA13" s="288" t="s">
        <v>89</v>
      </c>
      <c r="AB13" s="288" t="s">
        <v>90</v>
      </c>
      <c r="AC13" s="288" t="s">
        <v>91</v>
      </c>
      <c r="AD13" s="268" t="s">
        <v>156</v>
      </c>
      <c r="AE13" s="268" t="s">
        <v>157</v>
      </c>
      <c r="AF13" s="268" t="s">
        <v>158</v>
      </c>
      <c r="AG13" s="268" t="s">
        <v>159</v>
      </c>
      <c r="AH13" s="268" t="s">
        <v>160</v>
      </c>
      <c r="AI13" s="268" t="s">
        <v>161</v>
      </c>
      <c r="AJ13" s="268" t="s">
        <v>162</v>
      </c>
      <c r="AK13" s="268" t="s">
        <v>163</v>
      </c>
      <c r="AL13" s="268" t="s">
        <v>164</v>
      </c>
      <c r="AM13" s="268" t="s">
        <v>165</v>
      </c>
      <c r="AN13" s="268" t="s">
        <v>166</v>
      </c>
      <c r="AO13" s="268" t="s">
        <v>167</v>
      </c>
      <c r="AP13" s="268" t="s">
        <v>168</v>
      </c>
      <c r="AQ13" s="296" t="s">
        <v>169</v>
      </c>
      <c r="AR13" s="268" t="s">
        <v>170</v>
      </c>
      <c r="AS13" s="268" t="s">
        <v>171</v>
      </c>
      <c r="AT13" s="296" t="s">
        <v>172</v>
      </c>
      <c r="AU13" s="268" t="s">
        <v>173</v>
      </c>
      <c r="AV13" s="268" t="s">
        <v>174</v>
      </c>
      <c r="AW13" s="268" t="s">
        <v>175</v>
      </c>
      <c r="AX13" s="296" t="s">
        <v>176</v>
      </c>
      <c r="AY13" s="268" t="s">
        <v>177</v>
      </c>
      <c r="AZ13" s="268" t="s">
        <v>178</v>
      </c>
      <c r="BA13" s="296" t="s">
        <v>179</v>
      </c>
    </row>
    <row r="14" spans="1:53" s="214" customFormat="1" ht="21.75" customHeight="1">
      <c r="A14" s="244" t="s">
        <v>0</v>
      </c>
      <c r="B14" s="245" t="s">
        <v>125</v>
      </c>
      <c r="C14" s="246">
        <f>C15+C34</f>
        <v>48942000000</v>
      </c>
      <c r="D14" s="246">
        <f t="shared" ref="D14:AJ14" si="0">D15+D34</f>
        <v>39005000000</v>
      </c>
      <c r="E14" s="246">
        <f t="shared" si="0"/>
        <v>9937000000</v>
      </c>
      <c r="F14" s="246">
        <f t="shared" si="0"/>
        <v>15148000000</v>
      </c>
      <c r="G14" s="246">
        <f t="shared" si="0"/>
        <v>10795000000</v>
      </c>
      <c r="H14" s="246">
        <f t="shared" si="0"/>
        <v>10795000000</v>
      </c>
      <c r="I14" s="246">
        <f t="shared" si="0"/>
        <v>0</v>
      </c>
      <c r="J14" s="246">
        <f t="shared" si="0"/>
        <v>4353000000</v>
      </c>
      <c r="K14" s="246">
        <f t="shared" si="0"/>
        <v>4353000000</v>
      </c>
      <c r="L14" s="246">
        <f t="shared" si="0"/>
        <v>0</v>
      </c>
      <c r="M14" s="246">
        <f t="shared" si="0"/>
        <v>33794000000</v>
      </c>
      <c r="N14" s="246">
        <f t="shared" si="0"/>
        <v>28210000000</v>
      </c>
      <c r="O14" s="246">
        <f t="shared" si="0"/>
        <v>28210000000</v>
      </c>
      <c r="P14" s="246">
        <f t="shared" si="0"/>
        <v>0</v>
      </c>
      <c r="Q14" s="246">
        <f t="shared" si="0"/>
        <v>5584000000</v>
      </c>
      <c r="R14" s="246">
        <f t="shared" si="0"/>
        <v>5584000000</v>
      </c>
      <c r="S14" s="246">
        <f t="shared" si="0"/>
        <v>0</v>
      </c>
      <c r="T14" s="246">
        <f t="shared" si="0"/>
        <v>42410814593</v>
      </c>
      <c r="U14" s="246">
        <f t="shared" si="0"/>
        <v>32609624086</v>
      </c>
      <c r="V14" s="246">
        <f t="shared" si="0"/>
        <v>9801190507</v>
      </c>
      <c r="W14" s="246">
        <f t="shared" si="0"/>
        <v>15975063788</v>
      </c>
      <c r="X14" s="246">
        <f t="shared" si="0"/>
        <v>11662174681</v>
      </c>
      <c r="Y14" s="246">
        <f t="shared" si="0"/>
        <v>11662174681</v>
      </c>
      <c r="Z14" s="246">
        <f t="shared" si="0"/>
        <v>0</v>
      </c>
      <c r="AA14" s="246">
        <f t="shared" si="0"/>
        <v>4312889107</v>
      </c>
      <c r="AB14" s="246">
        <f t="shared" si="0"/>
        <v>4312889107</v>
      </c>
      <c r="AC14" s="246">
        <f t="shared" si="0"/>
        <v>0</v>
      </c>
      <c r="AD14" s="246">
        <f t="shared" si="0"/>
        <v>26435750805</v>
      </c>
      <c r="AE14" s="246">
        <f t="shared" si="0"/>
        <v>20947449405</v>
      </c>
      <c r="AF14" s="246">
        <f t="shared" si="0"/>
        <v>20947449405</v>
      </c>
      <c r="AG14" s="246">
        <f t="shared" si="0"/>
        <v>0</v>
      </c>
      <c r="AH14" s="246">
        <f t="shared" si="0"/>
        <v>5488301400</v>
      </c>
      <c r="AI14" s="246">
        <f t="shared" si="0"/>
        <v>5488301400</v>
      </c>
      <c r="AJ14" s="246">
        <f t="shared" si="0"/>
        <v>0</v>
      </c>
      <c r="AK14" s="267">
        <f>T14/C14</f>
        <v>0.86655254368436108</v>
      </c>
      <c r="AL14" s="267">
        <f t="shared" ref="AL14:AZ14" si="1">U14/D14</f>
        <v>0.83603702309960259</v>
      </c>
      <c r="AM14" s="267">
        <f t="shared" si="1"/>
        <v>0.98633294827412699</v>
      </c>
      <c r="AN14" s="267">
        <f t="shared" si="1"/>
        <v>1.0545988769474519</v>
      </c>
      <c r="AO14" s="267">
        <f t="shared" si="1"/>
        <v>1.0803311422880963</v>
      </c>
      <c r="AP14" s="267">
        <f t="shared" si="1"/>
        <v>1.0803311422880963</v>
      </c>
      <c r="AQ14" s="267"/>
      <c r="AR14" s="267">
        <f t="shared" si="1"/>
        <v>0.99078545991270384</v>
      </c>
      <c r="AS14" s="267">
        <f t="shared" si="1"/>
        <v>0.99078545991270384</v>
      </c>
      <c r="AT14" s="267"/>
      <c r="AU14" s="267">
        <f t="shared" si="1"/>
        <v>0.78226166789962714</v>
      </c>
      <c r="AV14" s="267">
        <f t="shared" si="1"/>
        <v>0.74255403775257001</v>
      </c>
      <c r="AW14" s="267">
        <f t="shared" si="1"/>
        <v>0.74255403775257001</v>
      </c>
      <c r="AX14" s="267"/>
      <c r="AY14" s="267">
        <f t="shared" si="1"/>
        <v>0.98286199856733525</v>
      </c>
      <c r="AZ14" s="267">
        <f t="shared" si="1"/>
        <v>0.98286199856733525</v>
      </c>
      <c r="BA14" s="267"/>
    </row>
    <row r="15" spans="1:53" s="214" customFormat="1" ht="20.100000000000001" customHeight="1">
      <c r="A15" s="266" t="s">
        <v>11</v>
      </c>
      <c r="B15" s="269" t="s">
        <v>71</v>
      </c>
      <c r="C15" s="270">
        <f>SUM(C16:C20)</f>
        <v>41093000000</v>
      </c>
      <c r="D15" s="270">
        <f t="shared" ref="D15:S15" si="2">SUM(D16:D20)</f>
        <v>39005000000</v>
      </c>
      <c r="E15" s="270">
        <f t="shared" si="2"/>
        <v>2088000000</v>
      </c>
      <c r="F15" s="289">
        <f t="shared" si="2"/>
        <v>10849000000</v>
      </c>
      <c r="G15" s="289">
        <f t="shared" si="2"/>
        <v>10795000000</v>
      </c>
      <c r="H15" s="289">
        <f t="shared" si="2"/>
        <v>10795000000</v>
      </c>
      <c r="I15" s="289">
        <f t="shared" si="2"/>
        <v>0</v>
      </c>
      <c r="J15" s="289">
        <f t="shared" si="2"/>
        <v>54000000</v>
      </c>
      <c r="K15" s="289">
        <f t="shared" si="2"/>
        <v>54000000</v>
      </c>
      <c r="L15" s="289">
        <f t="shared" si="2"/>
        <v>0</v>
      </c>
      <c r="M15" s="270">
        <f t="shared" si="2"/>
        <v>30244000000</v>
      </c>
      <c r="N15" s="270">
        <f t="shared" si="2"/>
        <v>28210000000</v>
      </c>
      <c r="O15" s="270">
        <f t="shared" si="2"/>
        <v>28210000000</v>
      </c>
      <c r="P15" s="270">
        <f t="shared" si="2"/>
        <v>0</v>
      </c>
      <c r="Q15" s="270">
        <f t="shared" si="2"/>
        <v>2034000000</v>
      </c>
      <c r="R15" s="270">
        <f t="shared" si="2"/>
        <v>2034000000</v>
      </c>
      <c r="S15" s="270">
        <f t="shared" si="2"/>
        <v>0</v>
      </c>
      <c r="T15" s="270">
        <v>34633914686</v>
      </c>
      <c r="U15" s="270">
        <v>32609624086</v>
      </c>
      <c r="V15" s="270">
        <v>2024290600</v>
      </c>
      <c r="W15" s="270">
        <v>11716174681</v>
      </c>
      <c r="X15" s="289">
        <v>11662174681</v>
      </c>
      <c r="Y15" s="289">
        <v>11662174681</v>
      </c>
      <c r="Z15" s="289">
        <v>0</v>
      </c>
      <c r="AA15" s="289">
        <v>54000000</v>
      </c>
      <c r="AB15" s="289">
        <v>54000000</v>
      </c>
      <c r="AC15" s="289">
        <v>0</v>
      </c>
      <c r="AD15" s="270">
        <v>22917740005</v>
      </c>
      <c r="AE15" s="270">
        <v>20947449405</v>
      </c>
      <c r="AF15" s="270">
        <v>20947449405</v>
      </c>
      <c r="AG15" s="270">
        <v>0</v>
      </c>
      <c r="AH15" s="270">
        <v>1970290600</v>
      </c>
      <c r="AI15" s="270">
        <v>1970290600</v>
      </c>
      <c r="AJ15" s="270">
        <v>0</v>
      </c>
      <c r="AK15" s="267">
        <f>T15/C15</f>
        <v>0.8428178688827781</v>
      </c>
      <c r="AL15" s="267">
        <f t="shared" ref="AL15" si="3">U15/D15</f>
        <v>0.83603702309960259</v>
      </c>
      <c r="AM15" s="267">
        <f t="shared" ref="AM15" si="4">V15/E15</f>
        <v>0.96948783524904214</v>
      </c>
      <c r="AN15" s="267">
        <f t="shared" ref="AN15" si="5">W15/F15</f>
        <v>1.079931300672873</v>
      </c>
      <c r="AO15" s="267">
        <f t="shared" ref="AO15" si="6">X15/G15</f>
        <v>1.0803311422880963</v>
      </c>
      <c r="AP15" s="267">
        <f t="shared" ref="AP15" si="7">Y15/H15</f>
        <v>1.0803311422880963</v>
      </c>
      <c r="AQ15" s="267"/>
      <c r="AR15" s="267">
        <f t="shared" ref="AR15" si="8">AA15/J15</f>
        <v>1</v>
      </c>
      <c r="AS15" s="267">
        <f t="shared" ref="AS15" si="9">AB15/K15</f>
        <v>1</v>
      </c>
      <c r="AT15" s="267"/>
      <c r="AU15" s="267">
        <f t="shared" ref="AU15" si="10">AD15/M15</f>
        <v>0.75776153964422699</v>
      </c>
      <c r="AV15" s="267">
        <f t="shared" ref="AV15" si="11">AE15/N15</f>
        <v>0.74255403775257001</v>
      </c>
      <c r="AW15" s="267">
        <f t="shared" ref="AW15" si="12">AF15/O15</f>
        <v>0.74255403775257001</v>
      </c>
      <c r="AX15" s="267"/>
      <c r="AY15" s="267">
        <f t="shared" ref="AY15" si="13">AH15/Q15</f>
        <v>0.96867777777777775</v>
      </c>
      <c r="AZ15" s="267">
        <f t="shared" ref="AZ15" si="14">AI15/R15</f>
        <v>0.96867777777777775</v>
      </c>
      <c r="BA15" s="267"/>
    </row>
    <row r="16" spans="1:53" ht="32.1" customHeight="1">
      <c r="A16" s="230" t="s">
        <v>13</v>
      </c>
      <c r="B16" s="231" t="s">
        <v>94</v>
      </c>
      <c r="C16" s="232">
        <f>D16+E16</f>
        <v>1558000000</v>
      </c>
      <c r="D16" s="232">
        <f>G16+N16</f>
        <v>0</v>
      </c>
      <c r="E16" s="232">
        <f>J16+Q16</f>
        <v>1558000000</v>
      </c>
      <c r="F16" s="290">
        <f>G16+J16</f>
        <v>0</v>
      </c>
      <c r="G16" s="290">
        <f>H16+I16</f>
        <v>0</v>
      </c>
      <c r="H16" s="290"/>
      <c r="I16" s="290"/>
      <c r="J16" s="290">
        <f>K16+L16</f>
        <v>0</v>
      </c>
      <c r="K16" s="290"/>
      <c r="L16" s="290"/>
      <c r="M16" s="232">
        <f>N16+Q16</f>
        <v>1558000000</v>
      </c>
      <c r="N16" s="232">
        <f>O16+P16</f>
        <v>0</v>
      </c>
      <c r="O16" s="232"/>
      <c r="P16" s="232"/>
      <c r="Q16" s="232">
        <f>R16+S16</f>
        <v>1558000000</v>
      </c>
      <c r="R16" s="232">
        <v>1558000000</v>
      </c>
      <c r="S16" s="232"/>
      <c r="T16" s="232">
        <v>1518280000</v>
      </c>
      <c r="U16" s="232">
        <v>0</v>
      </c>
      <c r="V16" s="232">
        <v>1518280000</v>
      </c>
      <c r="W16" s="232">
        <v>0</v>
      </c>
      <c r="X16" s="290">
        <v>0</v>
      </c>
      <c r="Y16" s="290">
        <v>0</v>
      </c>
      <c r="Z16" s="290">
        <v>0</v>
      </c>
      <c r="AA16" s="290">
        <v>0</v>
      </c>
      <c r="AB16" s="290">
        <v>0</v>
      </c>
      <c r="AC16" s="290">
        <v>0</v>
      </c>
      <c r="AD16" s="232">
        <v>1518280000</v>
      </c>
      <c r="AE16" s="232">
        <v>0</v>
      </c>
      <c r="AF16" s="232">
        <v>0</v>
      </c>
      <c r="AG16" s="232">
        <v>0</v>
      </c>
      <c r="AH16" s="232">
        <v>1518280000</v>
      </c>
      <c r="AI16" s="232">
        <v>1518280000</v>
      </c>
      <c r="AJ16" s="232">
        <v>0</v>
      </c>
      <c r="AK16" s="294">
        <f>T16/C16</f>
        <v>0.97450577663671378</v>
      </c>
      <c r="AL16" s="294"/>
      <c r="AM16" s="294">
        <f t="shared" ref="AM16" si="15">V16/E16</f>
        <v>0.97450577663671378</v>
      </c>
      <c r="AN16" s="294"/>
      <c r="AO16" s="294"/>
      <c r="AP16" s="294"/>
      <c r="AQ16" s="294"/>
      <c r="AR16" s="294"/>
      <c r="AS16" s="294"/>
      <c r="AT16" s="294"/>
      <c r="AU16" s="294">
        <f t="shared" ref="AU16" si="16">AD16/M16</f>
        <v>0.97450577663671378</v>
      </c>
      <c r="AV16" s="294"/>
      <c r="AW16" s="294"/>
      <c r="AX16" s="294"/>
      <c r="AY16" s="294">
        <f t="shared" ref="AY16" si="17">AH16/Q16</f>
        <v>0.97450577663671378</v>
      </c>
      <c r="AZ16" s="294">
        <f t="shared" ref="AZ16" si="18">AI16/R16</f>
        <v>0.97450577663671378</v>
      </c>
      <c r="BA16" s="294"/>
    </row>
    <row r="17" spans="1:53" ht="20.100000000000001" customHeight="1">
      <c r="A17" s="230" t="s">
        <v>21</v>
      </c>
      <c r="B17" s="231" t="s">
        <v>98</v>
      </c>
      <c r="C17" s="232">
        <f t="shared" ref="C17:C19" si="19">D17+E17</f>
        <v>236000000</v>
      </c>
      <c r="D17" s="232">
        <f t="shared" ref="D17:D19" si="20">G17+N17</f>
        <v>0</v>
      </c>
      <c r="E17" s="232">
        <f t="shared" ref="E17:E19" si="21">J17+Q17</f>
        <v>236000000</v>
      </c>
      <c r="F17" s="290">
        <f t="shared" ref="F17:F19" si="22">G17+J17</f>
        <v>0</v>
      </c>
      <c r="G17" s="290">
        <f t="shared" ref="G17:G19" si="23">H17+I17</f>
        <v>0</v>
      </c>
      <c r="H17" s="290"/>
      <c r="I17" s="290"/>
      <c r="J17" s="290">
        <f t="shared" ref="J17:J19" si="24">K17+L17</f>
        <v>0</v>
      </c>
      <c r="K17" s="290"/>
      <c r="L17" s="290"/>
      <c r="M17" s="232">
        <f t="shared" ref="M17:M19" si="25">N17+Q17</f>
        <v>236000000</v>
      </c>
      <c r="N17" s="232">
        <f t="shared" ref="N17:N19" si="26">O17+P17</f>
        <v>0</v>
      </c>
      <c r="O17" s="232"/>
      <c r="P17" s="232"/>
      <c r="Q17" s="232">
        <f t="shared" ref="Q17:Q19" si="27">R17+S17</f>
        <v>236000000</v>
      </c>
      <c r="R17" s="232">
        <v>236000000</v>
      </c>
      <c r="S17" s="232"/>
      <c r="T17" s="232">
        <v>235890600</v>
      </c>
      <c r="U17" s="232">
        <v>0</v>
      </c>
      <c r="V17" s="232">
        <v>235890600</v>
      </c>
      <c r="W17" s="232">
        <v>0</v>
      </c>
      <c r="X17" s="290">
        <v>0</v>
      </c>
      <c r="Y17" s="290">
        <v>0</v>
      </c>
      <c r="Z17" s="290">
        <v>0</v>
      </c>
      <c r="AA17" s="290">
        <v>0</v>
      </c>
      <c r="AB17" s="290">
        <v>0</v>
      </c>
      <c r="AC17" s="290">
        <v>0</v>
      </c>
      <c r="AD17" s="232">
        <v>235890600</v>
      </c>
      <c r="AE17" s="232">
        <v>0</v>
      </c>
      <c r="AF17" s="232">
        <v>0</v>
      </c>
      <c r="AG17" s="232">
        <v>0</v>
      </c>
      <c r="AH17" s="232">
        <v>235890600</v>
      </c>
      <c r="AI17" s="232">
        <v>235890600</v>
      </c>
      <c r="AJ17" s="232">
        <v>0</v>
      </c>
      <c r="AK17" s="294">
        <f t="shared" ref="AK17:AK20" si="28">T17/C17</f>
        <v>0.9995364406779661</v>
      </c>
      <c r="AL17" s="294"/>
      <c r="AM17" s="294">
        <f t="shared" ref="AM17:AM19" si="29">V17/E17</f>
        <v>0.9995364406779661</v>
      </c>
      <c r="AN17" s="294"/>
      <c r="AO17" s="294"/>
      <c r="AP17" s="294"/>
      <c r="AQ17" s="294"/>
      <c r="AR17" s="294"/>
      <c r="AS17" s="294"/>
      <c r="AT17" s="294"/>
      <c r="AU17" s="294">
        <f t="shared" ref="AU17:AU20" si="30">AD17/M17</f>
        <v>0.9995364406779661</v>
      </c>
      <c r="AV17" s="294"/>
      <c r="AW17" s="294"/>
      <c r="AX17" s="294"/>
      <c r="AY17" s="294">
        <f t="shared" ref="AY17:AY18" si="31">AH17/Q17</f>
        <v>0.9995364406779661</v>
      </c>
      <c r="AZ17" s="294">
        <f t="shared" ref="AZ17:AZ18" si="32">AI17/R17</f>
        <v>0.9995364406779661</v>
      </c>
      <c r="BA17" s="294"/>
    </row>
    <row r="18" spans="1:53" ht="32.1" customHeight="1">
      <c r="A18" s="230" t="s">
        <v>30</v>
      </c>
      <c r="B18" s="231" t="s">
        <v>100</v>
      </c>
      <c r="C18" s="232">
        <f t="shared" si="19"/>
        <v>277000000</v>
      </c>
      <c r="D18" s="232">
        <f t="shared" si="20"/>
        <v>0</v>
      </c>
      <c r="E18" s="232">
        <f t="shared" si="21"/>
        <v>277000000</v>
      </c>
      <c r="F18" s="290">
        <f t="shared" si="22"/>
        <v>37000000</v>
      </c>
      <c r="G18" s="290">
        <f t="shared" si="23"/>
        <v>0</v>
      </c>
      <c r="H18" s="290"/>
      <c r="I18" s="290"/>
      <c r="J18" s="290">
        <f t="shared" si="24"/>
        <v>37000000</v>
      </c>
      <c r="K18" s="290">
        <v>37000000</v>
      </c>
      <c r="L18" s="290"/>
      <c r="M18" s="232">
        <f t="shared" si="25"/>
        <v>240000000</v>
      </c>
      <c r="N18" s="232">
        <f t="shared" si="26"/>
        <v>0</v>
      </c>
      <c r="O18" s="232"/>
      <c r="P18" s="232"/>
      <c r="Q18" s="232">
        <f t="shared" si="27"/>
        <v>240000000</v>
      </c>
      <c r="R18" s="232">
        <v>240000000</v>
      </c>
      <c r="S18" s="232"/>
      <c r="T18" s="232">
        <v>253120000</v>
      </c>
      <c r="U18" s="232">
        <v>0</v>
      </c>
      <c r="V18" s="232">
        <v>253120000</v>
      </c>
      <c r="W18" s="232">
        <v>37000000</v>
      </c>
      <c r="X18" s="290">
        <v>0</v>
      </c>
      <c r="Y18" s="290">
        <v>0</v>
      </c>
      <c r="Z18" s="290">
        <v>0</v>
      </c>
      <c r="AA18" s="290">
        <v>37000000</v>
      </c>
      <c r="AB18" s="290">
        <v>37000000</v>
      </c>
      <c r="AC18" s="290">
        <v>0</v>
      </c>
      <c r="AD18" s="232">
        <v>216120000</v>
      </c>
      <c r="AE18" s="232">
        <v>0</v>
      </c>
      <c r="AF18" s="232">
        <v>0</v>
      </c>
      <c r="AG18" s="232">
        <v>0</v>
      </c>
      <c r="AH18" s="232">
        <v>216120000</v>
      </c>
      <c r="AI18" s="232">
        <v>216120000</v>
      </c>
      <c r="AJ18" s="232">
        <v>0</v>
      </c>
      <c r="AK18" s="294">
        <f t="shared" si="28"/>
        <v>0.91379061371841153</v>
      </c>
      <c r="AL18" s="294"/>
      <c r="AM18" s="294">
        <f t="shared" si="29"/>
        <v>0.91379061371841153</v>
      </c>
      <c r="AN18" s="294">
        <f t="shared" ref="AN18:AN20" si="33">W18/F18</f>
        <v>1</v>
      </c>
      <c r="AO18" s="294"/>
      <c r="AP18" s="294"/>
      <c r="AQ18" s="294"/>
      <c r="AR18" s="294">
        <f t="shared" ref="AR18:AR19" si="34">AA18/J18</f>
        <v>1</v>
      </c>
      <c r="AS18" s="294">
        <f t="shared" ref="AS18:AS19" si="35">AB18/K18</f>
        <v>1</v>
      </c>
      <c r="AT18" s="294"/>
      <c r="AU18" s="294">
        <f t="shared" si="30"/>
        <v>0.90049999999999997</v>
      </c>
      <c r="AV18" s="294"/>
      <c r="AW18" s="294"/>
      <c r="AX18" s="294"/>
      <c r="AY18" s="294">
        <f t="shared" si="31"/>
        <v>0.90049999999999997</v>
      </c>
      <c r="AZ18" s="294">
        <f t="shared" si="32"/>
        <v>0.90049999999999997</v>
      </c>
      <c r="BA18" s="294"/>
    </row>
    <row r="19" spans="1:53" ht="20.100000000000001" customHeight="1">
      <c r="A19" s="230" t="s">
        <v>31</v>
      </c>
      <c r="B19" s="231" t="s">
        <v>101</v>
      </c>
      <c r="C19" s="232">
        <f t="shared" si="19"/>
        <v>17000000</v>
      </c>
      <c r="D19" s="232">
        <f t="shared" si="20"/>
        <v>0</v>
      </c>
      <c r="E19" s="232">
        <f t="shared" si="21"/>
        <v>17000000</v>
      </c>
      <c r="F19" s="290">
        <f t="shared" si="22"/>
        <v>17000000</v>
      </c>
      <c r="G19" s="290">
        <f t="shared" si="23"/>
        <v>0</v>
      </c>
      <c r="H19" s="290"/>
      <c r="I19" s="290"/>
      <c r="J19" s="290">
        <f t="shared" si="24"/>
        <v>17000000</v>
      </c>
      <c r="K19" s="290">
        <v>17000000</v>
      </c>
      <c r="L19" s="290"/>
      <c r="M19" s="232">
        <f t="shared" si="25"/>
        <v>0</v>
      </c>
      <c r="N19" s="232">
        <f t="shared" si="26"/>
        <v>0</v>
      </c>
      <c r="O19" s="232"/>
      <c r="P19" s="232"/>
      <c r="Q19" s="232">
        <f t="shared" si="27"/>
        <v>0</v>
      </c>
      <c r="R19" s="232"/>
      <c r="S19" s="232"/>
      <c r="T19" s="232">
        <v>17000000</v>
      </c>
      <c r="U19" s="232">
        <v>0</v>
      </c>
      <c r="V19" s="232">
        <v>17000000</v>
      </c>
      <c r="W19" s="232">
        <v>17000000</v>
      </c>
      <c r="X19" s="290">
        <v>0</v>
      </c>
      <c r="Y19" s="290">
        <v>0</v>
      </c>
      <c r="Z19" s="290">
        <v>0</v>
      </c>
      <c r="AA19" s="290">
        <v>17000000</v>
      </c>
      <c r="AB19" s="290">
        <v>17000000</v>
      </c>
      <c r="AC19" s="290">
        <v>0</v>
      </c>
      <c r="AD19" s="232">
        <v>0</v>
      </c>
      <c r="AE19" s="232">
        <v>0</v>
      </c>
      <c r="AF19" s="232">
        <v>0</v>
      </c>
      <c r="AG19" s="232">
        <v>0</v>
      </c>
      <c r="AH19" s="232">
        <v>0</v>
      </c>
      <c r="AI19" s="232">
        <v>0</v>
      </c>
      <c r="AJ19" s="232">
        <v>0</v>
      </c>
      <c r="AK19" s="294">
        <f t="shared" si="28"/>
        <v>1</v>
      </c>
      <c r="AL19" s="294"/>
      <c r="AM19" s="294">
        <f t="shared" si="29"/>
        <v>1</v>
      </c>
      <c r="AN19" s="294">
        <f t="shared" si="33"/>
        <v>1</v>
      </c>
      <c r="AO19" s="294"/>
      <c r="AP19" s="294"/>
      <c r="AQ19" s="294"/>
      <c r="AR19" s="294">
        <f t="shared" si="34"/>
        <v>1</v>
      </c>
      <c r="AS19" s="294">
        <f t="shared" si="35"/>
        <v>1</v>
      </c>
      <c r="AT19" s="294"/>
      <c r="AU19" s="294"/>
      <c r="AV19" s="294"/>
      <c r="AW19" s="294"/>
      <c r="AX19" s="294"/>
      <c r="AY19" s="294"/>
      <c r="AZ19" s="294"/>
      <c r="BA19" s="294"/>
    </row>
    <row r="20" spans="1:53" ht="20.100000000000001" customHeight="1">
      <c r="A20" s="230" t="s">
        <v>32</v>
      </c>
      <c r="B20" s="231" t="s">
        <v>180</v>
      </c>
      <c r="C20" s="232">
        <f>SUM(C21:C33)</f>
        <v>39005000000</v>
      </c>
      <c r="D20" s="232">
        <f t="shared" ref="D20:S20" si="36">SUM(D21:D33)</f>
        <v>39005000000</v>
      </c>
      <c r="E20" s="232">
        <f t="shared" si="36"/>
        <v>0</v>
      </c>
      <c r="F20" s="290">
        <f t="shared" si="36"/>
        <v>10795000000</v>
      </c>
      <c r="G20" s="290">
        <f t="shared" si="36"/>
        <v>10795000000</v>
      </c>
      <c r="H20" s="290">
        <f t="shared" si="36"/>
        <v>10795000000</v>
      </c>
      <c r="I20" s="290">
        <f t="shared" si="36"/>
        <v>0</v>
      </c>
      <c r="J20" s="290">
        <f t="shared" si="36"/>
        <v>0</v>
      </c>
      <c r="K20" s="290">
        <f t="shared" si="36"/>
        <v>0</v>
      </c>
      <c r="L20" s="290">
        <f t="shared" si="36"/>
        <v>0</v>
      </c>
      <c r="M20" s="232">
        <f t="shared" si="36"/>
        <v>28210000000</v>
      </c>
      <c r="N20" s="232">
        <f t="shared" si="36"/>
        <v>28210000000</v>
      </c>
      <c r="O20" s="232">
        <f t="shared" si="36"/>
        <v>28210000000</v>
      </c>
      <c r="P20" s="232">
        <f t="shared" si="36"/>
        <v>0</v>
      </c>
      <c r="Q20" s="232">
        <f t="shared" si="36"/>
        <v>0</v>
      </c>
      <c r="R20" s="232">
        <f t="shared" si="36"/>
        <v>0</v>
      </c>
      <c r="S20" s="232">
        <f t="shared" si="36"/>
        <v>0</v>
      </c>
      <c r="T20" s="232">
        <v>32609624086</v>
      </c>
      <c r="U20" s="232">
        <v>32609624086</v>
      </c>
      <c r="V20" s="232">
        <v>0</v>
      </c>
      <c r="W20" s="232">
        <v>11662174681</v>
      </c>
      <c r="X20" s="290">
        <v>11662174681</v>
      </c>
      <c r="Y20" s="290">
        <v>11662174681</v>
      </c>
      <c r="Z20" s="290">
        <v>0</v>
      </c>
      <c r="AA20" s="290">
        <v>0</v>
      </c>
      <c r="AB20" s="290">
        <v>0</v>
      </c>
      <c r="AC20" s="290">
        <v>0</v>
      </c>
      <c r="AD20" s="232">
        <v>20947449405</v>
      </c>
      <c r="AE20" s="232">
        <v>20947449405</v>
      </c>
      <c r="AF20" s="232">
        <v>20947449405</v>
      </c>
      <c r="AG20" s="232">
        <v>0</v>
      </c>
      <c r="AH20" s="232">
        <v>0</v>
      </c>
      <c r="AI20" s="232">
        <v>0</v>
      </c>
      <c r="AJ20" s="232">
        <v>0</v>
      </c>
      <c r="AK20" s="294">
        <f t="shared" si="28"/>
        <v>0.83603702309960259</v>
      </c>
      <c r="AL20" s="294">
        <f t="shared" ref="AL20" si="37">U20/D20</f>
        <v>0.83603702309960259</v>
      </c>
      <c r="AM20" s="294"/>
      <c r="AN20" s="294">
        <f t="shared" si="33"/>
        <v>1.0803311422880963</v>
      </c>
      <c r="AO20" s="294">
        <f t="shared" ref="AO20" si="38">X20/G20</f>
        <v>1.0803311422880963</v>
      </c>
      <c r="AP20" s="294">
        <f t="shared" ref="AP20" si="39">Y20/H20</f>
        <v>1.0803311422880963</v>
      </c>
      <c r="AQ20" s="294"/>
      <c r="AR20" s="294"/>
      <c r="AS20" s="294"/>
      <c r="AT20" s="294"/>
      <c r="AU20" s="294">
        <f t="shared" si="30"/>
        <v>0.74255403775257001</v>
      </c>
      <c r="AV20" s="294">
        <f t="shared" ref="AV20" si="40">AE20/N20</f>
        <v>0.74255403775257001</v>
      </c>
      <c r="AW20" s="294">
        <f t="shared" ref="AW20" si="41">AF20/O20</f>
        <v>0.74255403775257001</v>
      </c>
      <c r="AX20" s="294"/>
      <c r="AY20" s="294"/>
      <c r="AZ20" s="294"/>
      <c r="BA20" s="294"/>
    </row>
    <row r="21" spans="1:53" s="286" customFormat="1" ht="28.5" hidden="1" outlineLevel="1">
      <c r="A21" s="283" t="s">
        <v>15</v>
      </c>
      <c r="B21" s="284" t="s">
        <v>523</v>
      </c>
      <c r="C21" s="285">
        <f t="shared" ref="C21:C28" si="42">D21+E21</f>
        <v>0</v>
      </c>
      <c r="D21" s="285">
        <f t="shared" ref="D21:D28" si="43">G21+N21</f>
        <v>0</v>
      </c>
      <c r="E21" s="285">
        <f t="shared" ref="E21:E28" si="44">J21+Q21</f>
        <v>0</v>
      </c>
      <c r="F21" s="291">
        <f t="shared" ref="F21:F28" si="45">G21+J21</f>
        <v>0</v>
      </c>
      <c r="G21" s="291">
        <f t="shared" ref="G21:G28" si="46">H21+I21</f>
        <v>0</v>
      </c>
      <c r="H21" s="291"/>
      <c r="I21" s="291"/>
      <c r="J21" s="291">
        <f t="shared" ref="J21:J28" si="47">K21+L21</f>
        <v>0</v>
      </c>
      <c r="K21" s="291"/>
      <c r="L21" s="291"/>
      <c r="M21" s="285">
        <f t="shared" ref="M21:M28" si="48">N21+Q21</f>
        <v>0</v>
      </c>
      <c r="N21" s="285">
        <f t="shared" ref="N21:N28" si="49">O21+P21</f>
        <v>0</v>
      </c>
      <c r="O21" s="285"/>
      <c r="P21" s="285"/>
      <c r="Q21" s="285">
        <f t="shared" ref="Q21:Q28" si="50">R21+S21</f>
        <v>0</v>
      </c>
      <c r="R21" s="285"/>
      <c r="S21" s="285"/>
      <c r="T21" s="285">
        <f>U21+V21</f>
        <v>413630000</v>
      </c>
      <c r="U21" s="285">
        <f>W21+AE21</f>
        <v>413630000</v>
      </c>
      <c r="V21" s="285">
        <f>AA21+AH21</f>
        <v>0</v>
      </c>
      <c r="W21" s="285">
        <f>X21+AA21</f>
        <v>413630000</v>
      </c>
      <c r="X21" s="291">
        <f>Y21+Z21</f>
        <v>413630000</v>
      </c>
      <c r="Y21" s="291">
        <v>413630000</v>
      </c>
      <c r="Z21" s="291"/>
      <c r="AA21" s="291">
        <f>AB21+AC21</f>
        <v>0</v>
      </c>
      <c r="AB21" s="291"/>
      <c r="AC21" s="291"/>
      <c r="AD21" s="285">
        <f>AE21+AH21</f>
        <v>0</v>
      </c>
      <c r="AE21" s="285">
        <f>AF21+AG21</f>
        <v>0</v>
      </c>
      <c r="AF21" s="285"/>
      <c r="AG21" s="285"/>
      <c r="AH21" s="285">
        <f>AI21+AJ21</f>
        <v>0</v>
      </c>
      <c r="AI21" s="285"/>
      <c r="AJ21" s="285"/>
      <c r="AK21" s="295"/>
      <c r="AL21" s="295"/>
      <c r="AM21" s="295"/>
      <c r="AN21" s="295"/>
      <c r="AO21" s="295"/>
      <c r="AP21" s="295"/>
      <c r="AQ21" s="295"/>
      <c r="AR21" s="295"/>
      <c r="AS21" s="295"/>
      <c r="AT21" s="295"/>
      <c r="AU21" s="295"/>
      <c r="AV21" s="295"/>
      <c r="AW21" s="295"/>
      <c r="AX21" s="295"/>
      <c r="AY21" s="295"/>
      <c r="AZ21" s="295"/>
      <c r="BA21" s="295"/>
    </row>
    <row r="22" spans="1:53" s="286" customFormat="1" hidden="1" outlineLevel="1">
      <c r="A22" s="283" t="s">
        <v>15</v>
      </c>
      <c r="B22" s="284" t="s">
        <v>282</v>
      </c>
      <c r="C22" s="285">
        <f t="shared" si="42"/>
        <v>300000000</v>
      </c>
      <c r="D22" s="285">
        <f t="shared" si="43"/>
        <v>300000000</v>
      </c>
      <c r="E22" s="285">
        <f t="shared" si="44"/>
        <v>0</v>
      </c>
      <c r="F22" s="291">
        <f t="shared" si="45"/>
        <v>300000000</v>
      </c>
      <c r="G22" s="291">
        <f t="shared" si="46"/>
        <v>300000000</v>
      </c>
      <c r="H22" s="291">
        <v>300000000</v>
      </c>
      <c r="I22" s="291"/>
      <c r="J22" s="291">
        <f t="shared" si="47"/>
        <v>0</v>
      </c>
      <c r="K22" s="291"/>
      <c r="L22" s="291"/>
      <c r="M22" s="285">
        <f t="shared" si="48"/>
        <v>0</v>
      </c>
      <c r="N22" s="285">
        <f t="shared" si="49"/>
        <v>0</v>
      </c>
      <c r="O22" s="285"/>
      <c r="P22" s="285"/>
      <c r="Q22" s="285">
        <f t="shared" si="50"/>
        <v>0</v>
      </c>
      <c r="R22" s="285"/>
      <c r="S22" s="285"/>
      <c r="T22" s="285">
        <f t="shared" ref="T22:T33" si="51">U22+V22</f>
        <v>300000000</v>
      </c>
      <c r="U22" s="285">
        <f t="shared" ref="U22:U33" si="52">W22+AE22</f>
        <v>300000000</v>
      </c>
      <c r="V22" s="285">
        <f t="shared" ref="V22:V33" si="53">AA22+AH22</f>
        <v>0</v>
      </c>
      <c r="W22" s="285">
        <f t="shared" ref="W22:W33" si="54">X22+AA22</f>
        <v>300000000</v>
      </c>
      <c r="X22" s="291">
        <f t="shared" ref="X22:X33" si="55">Y22+Z22</f>
        <v>300000000</v>
      </c>
      <c r="Y22" s="291">
        <v>300000000</v>
      </c>
      <c r="Z22" s="291"/>
      <c r="AA22" s="291">
        <f t="shared" ref="AA22:AA33" si="56">AB22+AC22</f>
        <v>0</v>
      </c>
      <c r="AB22" s="291"/>
      <c r="AC22" s="291"/>
      <c r="AD22" s="285">
        <f t="shared" ref="AD22:AD33" si="57">AE22+AH22</f>
        <v>0</v>
      </c>
      <c r="AE22" s="285">
        <f t="shared" ref="AE22:AE33" si="58">AF22+AG22</f>
        <v>0</v>
      </c>
      <c r="AF22" s="285"/>
      <c r="AG22" s="285"/>
      <c r="AH22" s="285">
        <f t="shared" ref="AH22:AH33" si="59">AI22+AJ22</f>
        <v>0</v>
      </c>
      <c r="AI22" s="285"/>
      <c r="AJ22" s="285"/>
      <c r="AK22" s="295">
        <f t="shared" ref="AK22" si="60">T22/C22</f>
        <v>1</v>
      </c>
      <c r="AL22" s="295">
        <f t="shared" ref="AL22" si="61">U22/D22</f>
        <v>1</v>
      </c>
      <c r="AM22" s="295"/>
      <c r="AN22" s="295">
        <f t="shared" ref="AN22" si="62">W22/F22</f>
        <v>1</v>
      </c>
      <c r="AO22" s="295">
        <f t="shared" ref="AO22" si="63">X22/G22</f>
        <v>1</v>
      </c>
      <c r="AP22" s="295">
        <f t="shared" ref="AP22" si="64">Y22/H22</f>
        <v>1</v>
      </c>
      <c r="AQ22" s="295"/>
      <c r="AR22" s="295"/>
      <c r="AS22" s="295"/>
      <c r="AT22" s="295"/>
      <c r="AU22" s="295"/>
      <c r="AV22" s="295"/>
      <c r="AW22" s="295"/>
      <c r="AX22" s="295"/>
      <c r="AY22" s="295"/>
      <c r="AZ22" s="295"/>
      <c r="BA22" s="295"/>
    </row>
    <row r="23" spans="1:53" s="286" customFormat="1" hidden="1" outlineLevel="1">
      <c r="A23" s="283" t="s">
        <v>15</v>
      </c>
      <c r="B23" s="284" t="s">
        <v>283</v>
      </c>
      <c r="C23" s="285">
        <f t="shared" si="42"/>
        <v>4814933000</v>
      </c>
      <c r="D23" s="285">
        <f t="shared" si="43"/>
        <v>4814933000</v>
      </c>
      <c r="E23" s="285">
        <f t="shared" si="44"/>
        <v>0</v>
      </c>
      <c r="F23" s="291">
        <f t="shared" si="45"/>
        <v>1340000000</v>
      </c>
      <c r="G23" s="291">
        <f t="shared" si="46"/>
        <v>1340000000</v>
      </c>
      <c r="H23" s="291">
        <v>1340000000</v>
      </c>
      <c r="I23" s="291"/>
      <c r="J23" s="291">
        <f t="shared" si="47"/>
        <v>0</v>
      </c>
      <c r="K23" s="291"/>
      <c r="L23" s="291"/>
      <c r="M23" s="285">
        <f t="shared" si="48"/>
        <v>3474933000</v>
      </c>
      <c r="N23" s="285">
        <f t="shared" si="49"/>
        <v>3474933000</v>
      </c>
      <c r="O23" s="285">
        <v>3474933000</v>
      </c>
      <c r="P23" s="285"/>
      <c r="Q23" s="285">
        <f t="shared" si="50"/>
        <v>0</v>
      </c>
      <c r="R23" s="285"/>
      <c r="S23" s="285"/>
      <c r="T23" s="285">
        <f t="shared" si="51"/>
        <v>2874507000</v>
      </c>
      <c r="U23" s="285">
        <f t="shared" si="52"/>
        <v>2874507000</v>
      </c>
      <c r="V23" s="285">
        <f t="shared" si="53"/>
        <v>0</v>
      </c>
      <c r="W23" s="285">
        <f t="shared" si="54"/>
        <v>1277253000</v>
      </c>
      <c r="X23" s="291">
        <f t="shared" si="55"/>
        <v>1277253000</v>
      </c>
      <c r="Y23" s="291">
        <v>1277253000</v>
      </c>
      <c r="Z23" s="291"/>
      <c r="AA23" s="291">
        <f t="shared" si="56"/>
        <v>0</v>
      </c>
      <c r="AB23" s="291"/>
      <c r="AC23" s="291"/>
      <c r="AD23" s="285">
        <f t="shared" si="57"/>
        <v>1597254000</v>
      </c>
      <c r="AE23" s="285">
        <f t="shared" si="58"/>
        <v>1597254000</v>
      </c>
      <c r="AF23" s="285">
        <v>1597254000</v>
      </c>
      <c r="AG23" s="285"/>
      <c r="AH23" s="285">
        <f t="shared" si="59"/>
        <v>0</v>
      </c>
      <c r="AI23" s="285"/>
      <c r="AJ23" s="285"/>
      <c r="AK23" s="295">
        <f t="shared" ref="AK23:AK34" si="65">T23/C23</f>
        <v>0.59699833829463467</v>
      </c>
      <c r="AL23" s="295">
        <f t="shared" ref="AL23:AL33" si="66">U23/D23</f>
        <v>0.59699833829463467</v>
      </c>
      <c r="AM23" s="295"/>
      <c r="AN23" s="295">
        <f t="shared" ref="AN23:AN34" si="67">W23/F23</f>
        <v>0.95317388059701491</v>
      </c>
      <c r="AO23" s="295">
        <f t="shared" ref="AO23:AO33" si="68">X23/G23</f>
        <v>0.95317388059701491</v>
      </c>
      <c r="AP23" s="295">
        <f t="shared" ref="AP23:AP33" si="69">Y23/H23</f>
        <v>0.95317388059701491</v>
      </c>
      <c r="AQ23" s="295"/>
      <c r="AR23" s="295"/>
      <c r="AS23" s="295"/>
      <c r="AT23" s="295"/>
      <c r="AU23" s="295">
        <f t="shared" ref="AU23:AU34" si="70">AD23/M23</f>
        <v>0.45965030117127437</v>
      </c>
      <c r="AV23" s="295">
        <f t="shared" ref="AV23:AV33" si="71">AE23/N23</f>
        <v>0.45965030117127437</v>
      </c>
      <c r="AW23" s="295">
        <f t="shared" ref="AW23:AW33" si="72">AF23/O23</f>
        <v>0.45965030117127437</v>
      </c>
      <c r="AX23" s="295"/>
      <c r="AY23" s="295"/>
      <c r="AZ23" s="295"/>
      <c r="BA23" s="295"/>
    </row>
    <row r="24" spans="1:53" s="286" customFormat="1" hidden="1" outlineLevel="1">
      <c r="A24" s="283" t="s">
        <v>15</v>
      </c>
      <c r="B24" s="284" t="s">
        <v>284</v>
      </c>
      <c r="C24" s="285">
        <f t="shared" si="42"/>
        <v>2602593000</v>
      </c>
      <c r="D24" s="285">
        <f t="shared" si="43"/>
        <v>2602593000</v>
      </c>
      <c r="E24" s="285">
        <f t="shared" si="44"/>
        <v>0</v>
      </c>
      <c r="F24" s="291">
        <f t="shared" si="45"/>
        <v>800000000</v>
      </c>
      <c r="G24" s="291">
        <f t="shared" si="46"/>
        <v>800000000</v>
      </c>
      <c r="H24" s="291">
        <v>800000000</v>
      </c>
      <c r="I24" s="291"/>
      <c r="J24" s="291">
        <f t="shared" si="47"/>
        <v>0</v>
      </c>
      <c r="K24" s="291"/>
      <c r="L24" s="291"/>
      <c r="M24" s="285">
        <f t="shared" si="48"/>
        <v>1802593000</v>
      </c>
      <c r="N24" s="285">
        <f t="shared" si="49"/>
        <v>1802593000</v>
      </c>
      <c r="O24" s="285">
        <v>1802593000</v>
      </c>
      <c r="P24" s="285"/>
      <c r="Q24" s="285">
        <f t="shared" si="50"/>
        <v>0</v>
      </c>
      <c r="R24" s="285"/>
      <c r="S24" s="285"/>
      <c r="T24" s="285">
        <f t="shared" si="51"/>
        <v>2586494600</v>
      </c>
      <c r="U24" s="285">
        <f t="shared" si="52"/>
        <v>2586494600</v>
      </c>
      <c r="V24" s="285">
        <f t="shared" si="53"/>
        <v>0</v>
      </c>
      <c r="W24" s="285">
        <f t="shared" si="54"/>
        <v>800000000</v>
      </c>
      <c r="X24" s="291">
        <f t="shared" si="55"/>
        <v>800000000</v>
      </c>
      <c r="Y24" s="291">
        <v>800000000</v>
      </c>
      <c r="Z24" s="291"/>
      <c r="AA24" s="291">
        <f t="shared" si="56"/>
        <v>0</v>
      </c>
      <c r="AB24" s="291"/>
      <c r="AC24" s="291"/>
      <c r="AD24" s="285">
        <f t="shared" si="57"/>
        <v>1786494600</v>
      </c>
      <c r="AE24" s="285">
        <f t="shared" si="58"/>
        <v>1786494600</v>
      </c>
      <c r="AF24" s="285">
        <v>1786494600</v>
      </c>
      <c r="AG24" s="285"/>
      <c r="AH24" s="285">
        <f t="shared" si="59"/>
        <v>0</v>
      </c>
      <c r="AI24" s="285"/>
      <c r="AJ24" s="285"/>
      <c r="AK24" s="295">
        <f t="shared" si="65"/>
        <v>0.99381447656241295</v>
      </c>
      <c r="AL24" s="295">
        <f t="shared" si="66"/>
        <v>0.99381447656241295</v>
      </c>
      <c r="AM24" s="295"/>
      <c r="AN24" s="295">
        <f t="shared" si="67"/>
        <v>1</v>
      </c>
      <c r="AO24" s="295">
        <f t="shared" si="68"/>
        <v>1</v>
      </c>
      <c r="AP24" s="295">
        <f t="shared" si="69"/>
        <v>1</v>
      </c>
      <c r="AQ24" s="295"/>
      <c r="AR24" s="295"/>
      <c r="AS24" s="295"/>
      <c r="AT24" s="295"/>
      <c r="AU24" s="295">
        <f t="shared" si="70"/>
        <v>0.99106930960011497</v>
      </c>
      <c r="AV24" s="295">
        <f t="shared" si="71"/>
        <v>0.99106930960011497</v>
      </c>
      <c r="AW24" s="295">
        <f t="shared" si="72"/>
        <v>0.99106930960011497</v>
      </c>
      <c r="AX24" s="295"/>
      <c r="AY24" s="295"/>
      <c r="AZ24" s="295"/>
      <c r="BA24" s="295"/>
    </row>
    <row r="25" spans="1:53" s="286" customFormat="1" hidden="1" outlineLevel="1">
      <c r="A25" s="283" t="s">
        <v>15</v>
      </c>
      <c r="B25" s="284" t="s">
        <v>285</v>
      </c>
      <c r="C25" s="285">
        <f t="shared" si="42"/>
        <v>5911686000</v>
      </c>
      <c r="D25" s="285">
        <f t="shared" si="43"/>
        <v>5911686000</v>
      </c>
      <c r="E25" s="285">
        <f t="shared" si="44"/>
        <v>0</v>
      </c>
      <c r="F25" s="291">
        <f t="shared" si="45"/>
        <v>1183010000</v>
      </c>
      <c r="G25" s="291">
        <f t="shared" si="46"/>
        <v>1183010000</v>
      </c>
      <c r="H25" s="291">
        <v>1183010000</v>
      </c>
      <c r="I25" s="291"/>
      <c r="J25" s="291">
        <f t="shared" si="47"/>
        <v>0</v>
      </c>
      <c r="K25" s="291"/>
      <c r="L25" s="291"/>
      <c r="M25" s="285">
        <f t="shared" si="48"/>
        <v>4728676000</v>
      </c>
      <c r="N25" s="285">
        <f t="shared" si="49"/>
        <v>4728676000</v>
      </c>
      <c r="O25" s="285">
        <v>4728676000</v>
      </c>
      <c r="P25" s="285"/>
      <c r="Q25" s="285">
        <f t="shared" si="50"/>
        <v>0</v>
      </c>
      <c r="R25" s="285"/>
      <c r="S25" s="285"/>
      <c r="T25" s="285">
        <f t="shared" si="51"/>
        <v>3633010000</v>
      </c>
      <c r="U25" s="285">
        <f t="shared" si="52"/>
        <v>3633010000</v>
      </c>
      <c r="V25" s="285">
        <f t="shared" si="53"/>
        <v>0</v>
      </c>
      <c r="W25" s="285">
        <f t="shared" si="54"/>
        <v>1183010000</v>
      </c>
      <c r="X25" s="291">
        <f t="shared" si="55"/>
        <v>1183010000</v>
      </c>
      <c r="Y25" s="291">
        <v>1183010000</v>
      </c>
      <c r="Z25" s="291"/>
      <c r="AA25" s="291">
        <f t="shared" si="56"/>
        <v>0</v>
      </c>
      <c r="AB25" s="291"/>
      <c r="AC25" s="291"/>
      <c r="AD25" s="285">
        <f t="shared" si="57"/>
        <v>2450000000</v>
      </c>
      <c r="AE25" s="285">
        <f t="shared" si="58"/>
        <v>2450000000</v>
      </c>
      <c r="AF25" s="285">
        <v>2450000000</v>
      </c>
      <c r="AG25" s="285"/>
      <c r="AH25" s="285">
        <f t="shared" si="59"/>
        <v>0</v>
      </c>
      <c r="AI25" s="285"/>
      <c r="AJ25" s="285"/>
      <c r="AK25" s="295">
        <f t="shared" si="65"/>
        <v>0.61454718670781905</v>
      </c>
      <c r="AL25" s="295">
        <f t="shared" si="66"/>
        <v>0.61454718670781905</v>
      </c>
      <c r="AM25" s="295"/>
      <c r="AN25" s="295">
        <f t="shared" si="67"/>
        <v>1</v>
      </c>
      <c r="AO25" s="295">
        <f t="shared" si="68"/>
        <v>1</v>
      </c>
      <c r="AP25" s="295">
        <f t="shared" si="69"/>
        <v>1</v>
      </c>
      <c r="AQ25" s="295"/>
      <c r="AR25" s="295"/>
      <c r="AS25" s="295"/>
      <c r="AT25" s="295"/>
      <c r="AU25" s="295">
        <f t="shared" si="70"/>
        <v>0.51811543019652861</v>
      </c>
      <c r="AV25" s="295">
        <f t="shared" si="71"/>
        <v>0.51811543019652861</v>
      </c>
      <c r="AW25" s="295">
        <f t="shared" si="72"/>
        <v>0.51811543019652861</v>
      </c>
      <c r="AX25" s="295"/>
      <c r="AY25" s="295"/>
      <c r="AZ25" s="295"/>
      <c r="BA25" s="295"/>
    </row>
    <row r="26" spans="1:53" s="286" customFormat="1" hidden="1" outlineLevel="1">
      <c r="A26" s="283" t="s">
        <v>15</v>
      </c>
      <c r="B26" s="284" t="s">
        <v>286</v>
      </c>
      <c r="C26" s="285">
        <f t="shared" si="42"/>
        <v>1356197900</v>
      </c>
      <c r="D26" s="285">
        <f t="shared" si="43"/>
        <v>1356197900</v>
      </c>
      <c r="E26" s="285">
        <f t="shared" si="44"/>
        <v>0</v>
      </c>
      <c r="F26" s="291">
        <f t="shared" si="45"/>
        <v>150000000</v>
      </c>
      <c r="G26" s="291">
        <f t="shared" si="46"/>
        <v>150000000</v>
      </c>
      <c r="H26" s="291">
        <v>150000000</v>
      </c>
      <c r="I26" s="291"/>
      <c r="J26" s="291">
        <f t="shared" si="47"/>
        <v>0</v>
      </c>
      <c r="K26" s="291"/>
      <c r="L26" s="291"/>
      <c r="M26" s="285">
        <f t="shared" si="48"/>
        <v>1206197900</v>
      </c>
      <c r="N26" s="285">
        <f t="shared" si="49"/>
        <v>1206197900</v>
      </c>
      <c r="O26" s="285">
        <v>1206197900</v>
      </c>
      <c r="P26" s="285"/>
      <c r="Q26" s="285">
        <f t="shared" si="50"/>
        <v>0</v>
      </c>
      <c r="R26" s="285"/>
      <c r="S26" s="285"/>
      <c r="T26" s="285">
        <f t="shared" si="51"/>
        <v>1332833105</v>
      </c>
      <c r="U26" s="285">
        <f t="shared" si="52"/>
        <v>1332833105</v>
      </c>
      <c r="V26" s="285">
        <f t="shared" si="53"/>
        <v>0</v>
      </c>
      <c r="W26" s="285">
        <f t="shared" si="54"/>
        <v>150000000</v>
      </c>
      <c r="X26" s="291">
        <f t="shared" si="55"/>
        <v>150000000</v>
      </c>
      <c r="Y26" s="291">
        <v>150000000</v>
      </c>
      <c r="Z26" s="291"/>
      <c r="AA26" s="291">
        <f t="shared" si="56"/>
        <v>0</v>
      </c>
      <c r="AB26" s="291"/>
      <c r="AC26" s="291"/>
      <c r="AD26" s="285">
        <f t="shared" si="57"/>
        <v>1182833105</v>
      </c>
      <c r="AE26" s="285">
        <f t="shared" si="58"/>
        <v>1182833105</v>
      </c>
      <c r="AF26" s="285">
        <v>1182833105</v>
      </c>
      <c r="AG26" s="285"/>
      <c r="AH26" s="285">
        <f t="shared" si="59"/>
        <v>0</v>
      </c>
      <c r="AI26" s="285"/>
      <c r="AJ26" s="285"/>
      <c r="AK26" s="295">
        <f t="shared" si="65"/>
        <v>0.98277183956707204</v>
      </c>
      <c r="AL26" s="295">
        <f t="shared" si="66"/>
        <v>0.98277183956707204</v>
      </c>
      <c r="AM26" s="295"/>
      <c r="AN26" s="295">
        <f t="shared" si="67"/>
        <v>1</v>
      </c>
      <c r="AO26" s="295">
        <f t="shared" si="68"/>
        <v>1</v>
      </c>
      <c r="AP26" s="295">
        <f t="shared" si="69"/>
        <v>1</v>
      </c>
      <c r="AQ26" s="295"/>
      <c r="AR26" s="295"/>
      <c r="AS26" s="295"/>
      <c r="AT26" s="295"/>
      <c r="AU26" s="295">
        <f t="shared" si="70"/>
        <v>0.9806293851116803</v>
      </c>
      <c r="AV26" s="295">
        <f t="shared" si="71"/>
        <v>0.9806293851116803</v>
      </c>
      <c r="AW26" s="295">
        <f t="shared" si="72"/>
        <v>0.9806293851116803</v>
      </c>
      <c r="AX26" s="295"/>
      <c r="AY26" s="295"/>
      <c r="AZ26" s="295"/>
      <c r="BA26" s="295"/>
    </row>
    <row r="27" spans="1:53" s="286" customFormat="1" hidden="1" outlineLevel="1">
      <c r="A27" s="283" t="s">
        <v>15</v>
      </c>
      <c r="B27" s="284" t="s">
        <v>287</v>
      </c>
      <c r="C27" s="285">
        <f t="shared" si="42"/>
        <v>2508937000</v>
      </c>
      <c r="D27" s="285">
        <f t="shared" si="43"/>
        <v>2508937000</v>
      </c>
      <c r="E27" s="285">
        <f t="shared" si="44"/>
        <v>0</v>
      </c>
      <c r="F27" s="291">
        <f t="shared" si="45"/>
        <v>713000000</v>
      </c>
      <c r="G27" s="291">
        <f t="shared" si="46"/>
        <v>713000000</v>
      </c>
      <c r="H27" s="291">
        <v>713000000</v>
      </c>
      <c r="I27" s="291"/>
      <c r="J27" s="291">
        <f t="shared" si="47"/>
        <v>0</v>
      </c>
      <c r="K27" s="291"/>
      <c r="L27" s="291"/>
      <c r="M27" s="285">
        <f t="shared" si="48"/>
        <v>1795937000</v>
      </c>
      <c r="N27" s="285">
        <f t="shared" si="49"/>
        <v>1795937000</v>
      </c>
      <c r="O27" s="285">
        <v>1795937000</v>
      </c>
      <c r="P27" s="285"/>
      <c r="Q27" s="285">
        <f t="shared" si="50"/>
        <v>0</v>
      </c>
      <c r="R27" s="285"/>
      <c r="S27" s="285"/>
      <c r="T27" s="285">
        <f t="shared" si="51"/>
        <v>2549064000</v>
      </c>
      <c r="U27" s="285">
        <f t="shared" si="52"/>
        <v>2549064000</v>
      </c>
      <c r="V27" s="285">
        <f t="shared" si="53"/>
        <v>0</v>
      </c>
      <c r="W27" s="285">
        <f t="shared" si="54"/>
        <v>753127000</v>
      </c>
      <c r="X27" s="291">
        <f t="shared" si="55"/>
        <v>753127000</v>
      </c>
      <c r="Y27" s="291">
        <v>753127000</v>
      </c>
      <c r="Z27" s="291"/>
      <c r="AA27" s="291">
        <f t="shared" si="56"/>
        <v>0</v>
      </c>
      <c r="AB27" s="291"/>
      <c r="AC27" s="291"/>
      <c r="AD27" s="285">
        <f t="shared" si="57"/>
        <v>1795937000</v>
      </c>
      <c r="AE27" s="285">
        <f t="shared" si="58"/>
        <v>1795937000</v>
      </c>
      <c r="AF27" s="285">
        <v>1795937000</v>
      </c>
      <c r="AG27" s="285"/>
      <c r="AH27" s="285">
        <f t="shared" si="59"/>
        <v>0</v>
      </c>
      <c r="AI27" s="285"/>
      <c r="AJ27" s="285"/>
      <c r="AK27" s="295">
        <f t="shared" si="65"/>
        <v>1.0159936259858258</v>
      </c>
      <c r="AL27" s="295">
        <f t="shared" si="66"/>
        <v>1.0159936259858258</v>
      </c>
      <c r="AM27" s="295"/>
      <c r="AN27" s="295">
        <f t="shared" si="67"/>
        <v>1.0562791023842917</v>
      </c>
      <c r="AO27" s="295">
        <f t="shared" si="68"/>
        <v>1.0562791023842917</v>
      </c>
      <c r="AP27" s="295">
        <f t="shared" si="69"/>
        <v>1.0562791023842917</v>
      </c>
      <c r="AQ27" s="295"/>
      <c r="AR27" s="295"/>
      <c r="AS27" s="295"/>
      <c r="AT27" s="295"/>
      <c r="AU27" s="295">
        <f t="shared" si="70"/>
        <v>1</v>
      </c>
      <c r="AV27" s="295">
        <f t="shared" si="71"/>
        <v>1</v>
      </c>
      <c r="AW27" s="295">
        <f t="shared" si="72"/>
        <v>1</v>
      </c>
      <c r="AX27" s="295"/>
      <c r="AY27" s="295"/>
      <c r="AZ27" s="295"/>
      <c r="BA27" s="295"/>
    </row>
    <row r="28" spans="1:53" s="286" customFormat="1" hidden="1" outlineLevel="1">
      <c r="A28" s="283" t="s">
        <v>15</v>
      </c>
      <c r="B28" s="284" t="s">
        <v>288</v>
      </c>
      <c r="C28" s="285">
        <f t="shared" si="42"/>
        <v>2844675000</v>
      </c>
      <c r="D28" s="285">
        <f t="shared" si="43"/>
        <v>2844675000</v>
      </c>
      <c r="E28" s="285">
        <f t="shared" si="44"/>
        <v>0</v>
      </c>
      <c r="F28" s="291">
        <f t="shared" si="45"/>
        <v>900000000</v>
      </c>
      <c r="G28" s="291">
        <f t="shared" si="46"/>
        <v>900000000</v>
      </c>
      <c r="H28" s="291">
        <v>900000000</v>
      </c>
      <c r="I28" s="291"/>
      <c r="J28" s="291">
        <f t="shared" si="47"/>
        <v>0</v>
      </c>
      <c r="K28" s="291"/>
      <c r="L28" s="291"/>
      <c r="M28" s="285">
        <f t="shared" si="48"/>
        <v>1944675000</v>
      </c>
      <c r="N28" s="285">
        <f t="shared" si="49"/>
        <v>1944675000</v>
      </c>
      <c r="O28" s="285">
        <v>1944675000</v>
      </c>
      <c r="P28" s="285"/>
      <c r="Q28" s="285">
        <f t="shared" si="50"/>
        <v>0</v>
      </c>
      <c r="R28" s="285"/>
      <c r="S28" s="285"/>
      <c r="T28" s="285">
        <f t="shared" si="51"/>
        <v>2844011000</v>
      </c>
      <c r="U28" s="285">
        <f t="shared" si="52"/>
        <v>2844011000</v>
      </c>
      <c r="V28" s="285">
        <f t="shared" si="53"/>
        <v>0</v>
      </c>
      <c r="W28" s="285">
        <f t="shared" si="54"/>
        <v>900000000</v>
      </c>
      <c r="X28" s="291">
        <f t="shared" si="55"/>
        <v>900000000</v>
      </c>
      <c r="Y28" s="291">
        <v>900000000</v>
      </c>
      <c r="Z28" s="291"/>
      <c r="AA28" s="291">
        <f t="shared" si="56"/>
        <v>0</v>
      </c>
      <c r="AB28" s="291"/>
      <c r="AC28" s="291"/>
      <c r="AD28" s="285">
        <f t="shared" si="57"/>
        <v>1944011000</v>
      </c>
      <c r="AE28" s="285">
        <f t="shared" si="58"/>
        <v>1944011000</v>
      </c>
      <c r="AF28" s="285">
        <v>1944011000</v>
      </c>
      <c r="AG28" s="285"/>
      <c r="AH28" s="285">
        <f t="shared" si="59"/>
        <v>0</v>
      </c>
      <c r="AI28" s="285"/>
      <c r="AJ28" s="285"/>
      <c r="AK28" s="295">
        <f t="shared" si="65"/>
        <v>0.99976658141967012</v>
      </c>
      <c r="AL28" s="295">
        <f t="shared" si="66"/>
        <v>0.99976658141967012</v>
      </c>
      <c r="AM28" s="295"/>
      <c r="AN28" s="295">
        <f t="shared" si="67"/>
        <v>1</v>
      </c>
      <c r="AO28" s="295">
        <f t="shared" si="68"/>
        <v>1</v>
      </c>
      <c r="AP28" s="295">
        <f t="shared" si="69"/>
        <v>1</v>
      </c>
      <c r="AQ28" s="295"/>
      <c r="AR28" s="295"/>
      <c r="AS28" s="295"/>
      <c r="AT28" s="295"/>
      <c r="AU28" s="295">
        <f t="shared" si="70"/>
        <v>0.99965855477136278</v>
      </c>
      <c r="AV28" s="295">
        <f t="shared" si="71"/>
        <v>0.99965855477136278</v>
      </c>
      <c r="AW28" s="295">
        <f t="shared" si="72"/>
        <v>0.99965855477136278</v>
      </c>
      <c r="AX28" s="295"/>
      <c r="AY28" s="295"/>
      <c r="AZ28" s="295"/>
      <c r="BA28" s="295"/>
    </row>
    <row r="29" spans="1:53" s="286" customFormat="1" hidden="1" outlineLevel="1">
      <c r="A29" s="283" t="s">
        <v>15</v>
      </c>
      <c r="B29" s="284" t="s">
        <v>289</v>
      </c>
      <c r="C29" s="285">
        <f t="shared" ref="C29:C33" si="73">D29+E29</f>
        <v>3774063100</v>
      </c>
      <c r="D29" s="285">
        <f t="shared" ref="D29:D33" si="74">G29+N29</f>
        <v>3774063100</v>
      </c>
      <c r="E29" s="285">
        <f t="shared" ref="E29:E33" si="75">J29+Q29</f>
        <v>0</v>
      </c>
      <c r="F29" s="291">
        <f t="shared" ref="F29:F33" si="76">G29+J29</f>
        <v>1677990000</v>
      </c>
      <c r="G29" s="291">
        <f t="shared" ref="G29:G33" si="77">H29+I29</f>
        <v>1677990000</v>
      </c>
      <c r="H29" s="291">
        <v>1677990000</v>
      </c>
      <c r="I29" s="291"/>
      <c r="J29" s="291">
        <f t="shared" ref="J29:J33" si="78">K29+L29</f>
        <v>0</v>
      </c>
      <c r="K29" s="291"/>
      <c r="L29" s="291"/>
      <c r="M29" s="285">
        <f t="shared" ref="M29:M33" si="79">N29+Q29</f>
        <v>2096073100</v>
      </c>
      <c r="N29" s="285">
        <f t="shared" ref="N29:N33" si="80">O29+P29</f>
        <v>2096073100</v>
      </c>
      <c r="O29" s="285">
        <v>2096073100</v>
      </c>
      <c r="P29" s="285"/>
      <c r="Q29" s="285">
        <f t="shared" ref="Q29:Q33" si="81">R29+S29</f>
        <v>0</v>
      </c>
      <c r="R29" s="285"/>
      <c r="S29" s="285"/>
      <c r="T29" s="285">
        <f t="shared" si="51"/>
        <v>3805218100</v>
      </c>
      <c r="U29" s="285">
        <f t="shared" si="52"/>
        <v>3805218100</v>
      </c>
      <c r="V29" s="285">
        <f t="shared" si="53"/>
        <v>0</v>
      </c>
      <c r="W29" s="285">
        <f t="shared" si="54"/>
        <v>1709145000</v>
      </c>
      <c r="X29" s="291">
        <f t="shared" si="55"/>
        <v>1709145000</v>
      </c>
      <c r="Y29" s="291">
        <v>1709145000</v>
      </c>
      <c r="Z29" s="291"/>
      <c r="AA29" s="291">
        <f t="shared" si="56"/>
        <v>0</v>
      </c>
      <c r="AB29" s="291"/>
      <c r="AC29" s="291"/>
      <c r="AD29" s="285">
        <f t="shared" si="57"/>
        <v>2096073100</v>
      </c>
      <c r="AE29" s="285">
        <f t="shared" si="58"/>
        <v>2096073100</v>
      </c>
      <c r="AF29" s="285">
        <v>2096073100</v>
      </c>
      <c r="AG29" s="285"/>
      <c r="AH29" s="285">
        <f t="shared" si="59"/>
        <v>0</v>
      </c>
      <c r="AI29" s="285"/>
      <c r="AJ29" s="285"/>
      <c r="AK29" s="295">
        <f t="shared" si="65"/>
        <v>1.008255028910354</v>
      </c>
      <c r="AL29" s="295">
        <f t="shared" si="66"/>
        <v>1.008255028910354</v>
      </c>
      <c r="AM29" s="295"/>
      <c r="AN29" s="295">
        <f t="shared" si="67"/>
        <v>1.0185668567750701</v>
      </c>
      <c r="AO29" s="295">
        <f t="shared" si="68"/>
        <v>1.0185668567750701</v>
      </c>
      <c r="AP29" s="295">
        <f t="shared" si="69"/>
        <v>1.0185668567750701</v>
      </c>
      <c r="AQ29" s="295"/>
      <c r="AR29" s="295"/>
      <c r="AS29" s="295"/>
      <c r="AT29" s="295"/>
      <c r="AU29" s="295">
        <f t="shared" si="70"/>
        <v>1</v>
      </c>
      <c r="AV29" s="295">
        <f t="shared" si="71"/>
        <v>1</v>
      </c>
      <c r="AW29" s="295">
        <f t="shared" si="72"/>
        <v>1</v>
      </c>
      <c r="AX29" s="295"/>
      <c r="AY29" s="295"/>
      <c r="AZ29" s="295"/>
      <c r="BA29" s="295"/>
    </row>
    <row r="30" spans="1:53" s="286" customFormat="1" hidden="1" outlineLevel="1">
      <c r="A30" s="283" t="s">
        <v>15</v>
      </c>
      <c r="B30" s="284" t="s">
        <v>290</v>
      </c>
      <c r="C30" s="285">
        <f t="shared" si="73"/>
        <v>4085107000</v>
      </c>
      <c r="D30" s="285">
        <f t="shared" si="74"/>
        <v>4085107000</v>
      </c>
      <c r="E30" s="285">
        <f t="shared" si="75"/>
        <v>0</v>
      </c>
      <c r="F30" s="291">
        <f t="shared" si="76"/>
        <v>935000000</v>
      </c>
      <c r="G30" s="291">
        <f t="shared" si="77"/>
        <v>935000000</v>
      </c>
      <c r="H30" s="291">
        <v>935000000</v>
      </c>
      <c r="I30" s="291"/>
      <c r="J30" s="291">
        <f t="shared" si="78"/>
        <v>0</v>
      </c>
      <c r="K30" s="291"/>
      <c r="L30" s="291"/>
      <c r="M30" s="285">
        <f t="shared" si="79"/>
        <v>3150107000</v>
      </c>
      <c r="N30" s="285">
        <f t="shared" si="80"/>
        <v>3150107000</v>
      </c>
      <c r="O30" s="285">
        <v>3150107000</v>
      </c>
      <c r="P30" s="285"/>
      <c r="Q30" s="285">
        <f t="shared" si="81"/>
        <v>0</v>
      </c>
      <c r="R30" s="285"/>
      <c r="S30" s="285"/>
      <c r="T30" s="285">
        <f t="shared" si="51"/>
        <v>4084524000</v>
      </c>
      <c r="U30" s="285">
        <f t="shared" si="52"/>
        <v>4084524000</v>
      </c>
      <c r="V30" s="285">
        <f t="shared" si="53"/>
        <v>0</v>
      </c>
      <c r="W30" s="285">
        <f t="shared" si="54"/>
        <v>934417000</v>
      </c>
      <c r="X30" s="291">
        <f t="shared" si="55"/>
        <v>934417000</v>
      </c>
      <c r="Y30" s="291">
        <v>934417000</v>
      </c>
      <c r="Z30" s="291"/>
      <c r="AA30" s="291">
        <f t="shared" si="56"/>
        <v>0</v>
      </c>
      <c r="AB30" s="291"/>
      <c r="AC30" s="291"/>
      <c r="AD30" s="285">
        <f t="shared" si="57"/>
        <v>3150107000</v>
      </c>
      <c r="AE30" s="285">
        <f t="shared" si="58"/>
        <v>3150107000</v>
      </c>
      <c r="AF30" s="285">
        <v>3150107000</v>
      </c>
      <c r="AG30" s="285"/>
      <c r="AH30" s="285">
        <f t="shared" si="59"/>
        <v>0</v>
      </c>
      <c r="AI30" s="285"/>
      <c r="AJ30" s="285"/>
      <c r="AK30" s="295">
        <f t="shared" si="65"/>
        <v>0.99985728647988903</v>
      </c>
      <c r="AL30" s="295">
        <f t="shared" si="66"/>
        <v>0.99985728647988903</v>
      </c>
      <c r="AM30" s="295"/>
      <c r="AN30" s="295">
        <f t="shared" si="67"/>
        <v>0.99937647058823531</v>
      </c>
      <c r="AO30" s="295">
        <f t="shared" si="68"/>
        <v>0.99937647058823531</v>
      </c>
      <c r="AP30" s="295">
        <f t="shared" si="69"/>
        <v>0.99937647058823531</v>
      </c>
      <c r="AQ30" s="295"/>
      <c r="AR30" s="295"/>
      <c r="AS30" s="295"/>
      <c r="AT30" s="295"/>
      <c r="AU30" s="295">
        <f t="shared" si="70"/>
        <v>1</v>
      </c>
      <c r="AV30" s="295">
        <f t="shared" si="71"/>
        <v>1</v>
      </c>
      <c r="AW30" s="295">
        <f t="shared" si="72"/>
        <v>1</v>
      </c>
      <c r="AX30" s="295"/>
      <c r="AY30" s="295"/>
      <c r="AZ30" s="295"/>
      <c r="BA30" s="295"/>
    </row>
    <row r="31" spans="1:53" s="286" customFormat="1" hidden="1" outlineLevel="1">
      <c r="A31" s="283" t="s">
        <v>15</v>
      </c>
      <c r="B31" s="284" t="s">
        <v>291</v>
      </c>
      <c r="C31" s="285">
        <f t="shared" si="73"/>
        <v>5853915000</v>
      </c>
      <c r="D31" s="285">
        <f t="shared" si="74"/>
        <v>5853915000</v>
      </c>
      <c r="E31" s="285">
        <f t="shared" si="75"/>
        <v>0</v>
      </c>
      <c r="F31" s="291">
        <f t="shared" si="76"/>
        <v>540000000</v>
      </c>
      <c r="G31" s="291">
        <f t="shared" si="77"/>
        <v>540000000</v>
      </c>
      <c r="H31" s="291">
        <v>540000000</v>
      </c>
      <c r="I31" s="291"/>
      <c r="J31" s="291">
        <f t="shared" si="78"/>
        <v>0</v>
      </c>
      <c r="K31" s="291"/>
      <c r="L31" s="291"/>
      <c r="M31" s="285">
        <f t="shared" si="79"/>
        <v>5313915000</v>
      </c>
      <c r="N31" s="285">
        <f t="shared" si="80"/>
        <v>5313915000</v>
      </c>
      <c r="O31" s="285">
        <v>5313915000</v>
      </c>
      <c r="P31" s="285"/>
      <c r="Q31" s="285">
        <f t="shared" si="81"/>
        <v>0</v>
      </c>
      <c r="R31" s="285"/>
      <c r="S31" s="285"/>
      <c r="T31" s="285">
        <f t="shared" si="51"/>
        <v>2799453000</v>
      </c>
      <c r="U31" s="285">
        <f t="shared" si="52"/>
        <v>2799453000</v>
      </c>
      <c r="V31" s="285">
        <f t="shared" si="53"/>
        <v>0</v>
      </c>
      <c r="W31" s="285">
        <f t="shared" si="54"/>
        <v>549183000</v>
      </c>
      <c r="X31" s="291">
        <f t="shared" si="55"/>
        <v>549183000</v>
      </c>
      <c r="Y31" s="291">
        <v>549183000</v>
      </c>
      <c r="Z31" s="291"/>
      <c r="AA31" s="291">
        <f t="shared" si="56"/>
        <v>0</v>
      </c>
      <c r="AB31" s="291"/>
      <c r="AC31" s="291"/>
      <c r="AD31" s="285">
        <f t="shared" si="57"/>
        <v>2250270000</v>
      </c>
      <c r="AE31" s="285">
        <f t="shared" si="58"/>
        <v>2250270000</v>
      </c>
      <c r="AF31" s="285">
        <v>2250270000</v>
      </c>
      <c r="AG31" s="285"/>
      <c r="AH31" s="285">
        <f t="shared" si="59"/>
        <v>0</v>
      </c>
      <c r="AI31" s="285"/>
      <c r="AJ31" s="285"/>
      <c r="AK31" s="295">
        <f t="shared" si="65"/>
        <v>0.47821893553288697</v>
      </c>
      <c r="AL31" s="295">
        <f t="shared" si="66"/>
        <v>0.47821893553288697</v>
      </c>
      <c r="AM31" s="295"/>
      <c r="AN31" s="295">
        <f t="shared" si="67"/>
        <v>1.0170055555555555</v>
      </c>
      <c r="AO31" s="295">
        <f t="shared" si="68"/>
        <v>1.0170055555555555</v>
      </c>
      <c r="AP31" s="295">
        <f t="shared" si="69"/>
        <v>1.0170055555555555</v>
      </c>
      <c r="AQ31" s="295"/>
      <c r="AR31" s="295"/>
      <c r="AS31" s="295"/>
      <c r="AT31" s="295"/>
      <c r="AU31" s="295">
        <f t="shared" si="70"/>
        <v>0.42346744349505028</v>
      </c>
      <c r="AV31" s="295">
        <f t="shared" si="71"/>
        <v>0.42346744349505028</v>
      </c>
      <c r="AW31" s="295">
        <f t="shared" si="72"/>
        <v>0.42346744349505028</v>
      </c>
      <c r="AX31" s="295"/>
      <c r="AY31" s="295"/>
      <c r="AZ31" s="295"/>
      <c r="BA31" s="295"/>
    </row>
    <row r="32" spans="1:53" s="286" customFormat="1" hidden="1" outlineLevel="1">
      <c r="A32" s="283" t="s">
        <v>15</v>
      </c>
      <c r="B32" s="284" t="s">
        <v>292</v>
      </c>
      <c r="C32" s="285">
        <f t="shared" si="73"/>
        <v>3952893000</v>
      </c>
      <c r="D32" s="285">
        <f t="shared" si="74"/>
        <v>3952893000</v>
      </c>
      <c r="E32" s="285">
        <f t="shared" si="75"/>
        <v>0</v>
      </c>
      <c r="F32" s="291">
        <f t="shared" si="76"/>
        <v>1256000000</v>
      </c>
      <c r="G32" s="291">
        <f t="shared" si="77"/>
        <v>1256000000</v>
      </c>
      <c r="H32" s="291">
        <v>1256000000</v>
      </c>
      <c r="I32" s="291"/>
      <c r="J32" s="291">
        <f t="shared" si="78"/>
        <v>0</v>
      </c>
      <c r="K32" s="291"/>
      <c r="L32" s="291"/>
      <c r="M32" s="285">
        <f t="shared" si="79"/>
        <v>2696893000</v>
      </c>
      <c r="N32" s="285">
        <f t="shared" si="80"/>
        <v>2696893000</v>
      </c>
      <c r="O32" s="285">
        <v>2696893000</v>
      </c>
      <c r="P32" s="285"/>
      <c r="Q32" s="285">
        <f t="shared" si="81"/>
        <v>0</v>
      </c>
      <c r="R32" s="285"/>
      <c r="S32" s="285"/>
      <c r="T32" s="285">
        <f t="shared" si="51"/>
        <v>3974672300</v>
      </c>
      <c r="U32" s="285">
        <f t="shared" si="52"/>
        <v>3974672300</v>
      </c>
      <c r="V32" s="285">
        <f t="shared" si="53"/>
        <v>0</v>
      </c>
      <c r="W32" s="285">
        <f t="shared" si="54"/>
        <v>1280202700</v>
      </c>
      <c r="X32" s="291">
        <f t="shared" si="55"/>
        <v>1280202700</v>
      </c>
      <c r="Y32" s="291">
        <v>1280202700</v>
      </c>
      <c r="Z32" s="291"/>
      <c r="AA32" s="291">
        <f t="shared" si="56"/>
        <v>0</v>
      </c>
      <c r="AB32" s="291"/>
      <c r="AC32" s="291"/>
      <c r="AD32" s="285">
        <f t="shared" si="57"/>
        <v>2694469600</v>
      </c>
      <c r="AE32" s="285">
        <f t="shared" si="58"/>
        <v>2694469600</v>
      </c>
      <c r="AF32" s="285">
        <v>2694469600</v>
      </c>
      <c r="AG32" s="285"/>
      <c r="AH32" s="285">
        <f t="shared" si="59"/>
        <v>0</v>
      </c>
      <c r="AI32" s="285"/>
      <c r="AJ32" s="285"/>
      <c r="AK32" s="295">
        <f t="shared" si="65"/>
        <v>1.005509711494847</v>
      </c>
      <c r="AL32" s="295">
        <f t="shared" si="66"/>
        <v>1.005509711494847</v>
      </c>
      <c r="AM32" s="295"/>
      <c r="AN32" s="295">
        <f t="shared" si="67"/>
        <v>1.0192696656050955</v>
      </c>
      <c r="AO32" s="295">
        <f t="shared" si="68"/>
        <v>1.0192696656050955</v>
      </c>
      <c r="AP32" s="295">
        <f t="shared" si="69"/>
        <v>1.0192696656050955</v>
      </c>
      <c r="AQ32" s="295"/>
      <c r="AR32" s="295"/>
      <c r="AS32" s="295"/>
      <c r="AT32" s="295"/>
      <c r="AU32" s="295">
        <f t="shared" si="70"/>
        <v>0.99910141040078337</v>
      </c>
      <c r="AV32" s="295">
        <f t="shared" si="71"/>
        <v>0.99910141040078337</v>
      </c>
      <c r="AW32" s="295">
        <f t="shared" si="72"/>
        <v>0.99910141040078337</v>
      </c>
      <c r="AX32" s="295"/>
      <c r="AY32" s="295"/>
      <c r="AZ32" s="295"/>
      <c r="BA32" s="295"/>
    </row>
    <row r="33" spans="1:54" s="286" customFormat="1" hidden="1" outlineLevel="1">
      <c r="A33" s="283" t="s">
        <v>15</v>
      </c>
      <c r="B33" s="284" t="s">
        <v>293</v>
      </c>
      <c r="C33" s="285">
        <f t="shared" si="73"/>
        <v>1000000000</v>
      </c>
      <c r="D33" s="285">
        <f t="shared" si="74"/>
        <v>1000000000</v>
      </c>
      <c r="E33" s="285">
        <f t="shared" si="75"/>
        <v>0</v>
      </c>
      <c r="F33" s="291">
        <f t="shared" si="76"/>
        <v>1000000000</v>
      </c>
      <c r="G33" s="291">
        <f t="shared" si="77"/>
        <v>1000000000</v>
      </c>
      <c r="H33" s="291">
        <v>1000000000</v>
      </c>
      <c r="I33" s="291"/>
      <c r="J33" s="291">
        <f t="shared" si="78"/>
        <v>0</v>
      </c>
      <c r="K33" s="291"/>
      <c r="L33" s="291"/>
      <c r="M33" s="285">
        <f t="shared" si="79"/>
        <v>0</v>
      </c>
      <c r="N33" s="285">
        <f t="shared" si="80"/>
        <v>0</v>
      </c>
      <c r="O33" s="285"/>
      <c r="P33" s="285"/>
      <c r="Q33" s="285">
        <f t="shared" si="81"/>
        <v>0</v>
      </c>
      <c r="R33" s="285"/>
      <c r="S33" s="285"/>
      <c r="T33" s="285">
        <f t="shared" si="51"/>
        <v>1412206981</v>
      </c>
      <c r="U33" s="285">
        <f t="shared" si="52"/>
        <v>1412206981</v>
      </c>
      <c r="V33" s="285">
        <f t="shared" si="53"/>
        <v>0</v>
      </c>
      <c r="W33" s="285">
        <f t="shared" si="54"/>
        <v>1412206981</v>
      </c>
      <c r="X33" s="291">
        <f t="shared" si="55"/>
        <v>1412206981</v>
      </c>
      <c r="Y33" s="291">
        <v>1412206981</v>
      </c>
      <c r="Z33" s="291"/>
      <c r="AA33" s="291">
        <f t="shared" si="56"/>
        <v>0</v>
      </c>
      <c r="AB33" s="291"/>
      <c r="AC33" s="291"/>
      <c r="AD33" s="285">
        <f t="shared" si="57"/>
        <v>0</v>
      </c>
      <c r="AE33" s="285">
        <f t="shared" si="58"/>
        <v>0</v>
      </c>
      <c r="AF33" s="285"/>
      <c r="AG33" s="285"/>
      <c r="AH33" s="285">
        <f t="shared" si="59"/>
        <v>0</v>
      </c>
      <c r="AI33" s="285"/>
      <c r="AJ33" s="285"/>
      <c r="AK33" s="295">
        <f t="shared" si="65"/>
        <v>1.412206981</v>
      </c>
      <c r="AL33" s="295">
        <f t="shared" si="66"/>
        <v>1.412206981</v>
      </c>
      <c r="AM33" s="295"/>
      <c r="AN33" s="295">
        <f t="shared" si="67"/>
        <v>1.412206981</v>
      </c>
      <c r="AO33" s="295">
        <f t="shared" si="68"/>
        <v>1.412206981</v>
      </c>
      <c r="AP33" s="295">
        <f t="shared" si="69"/>
        <v>1.412206981</v>
      </c>
      <c r="AQ33" s="295"/>
      <c r="AR33" s="295"/>
      <c r="AS33" s="295"/>
      <c r="AT33" s="295"/>
      <c r="AU33" s="295" t="e">
        <f t="shared" si="70"/>
        <v>#DIV/0!</v>
      </c>
      <c r="AV33" s="295" t="e">
        <f t="shared" si="71"/>
        <v>#DIV/0!</v>
      </c>
      <c r="AW33" s="295" t="e">
        <f t="shared" si="72"/>
        <v>#DIV/0!</v>
      </c>
      <c r="AX33" s="295"/>
      <c r="AY33" s="295"/>
      <c r="AZ33" s="295"/>
      <c r="BA33" s="295"/>
    </row>
    <row r="34" spans="1:54" s="214" customFormat="1" ht="20.100000000000001" customHeight="1" collapsed="1">
      <c r="A34" s="266" t="s">
        <v>19</v>
      </c>
      <c r="B34" s="269" t="s">
        <v>72</v>
      </c>
      <c r="C34" s="270">
        <f>SUM(C35:C46)</f>
        <v>7849000000</v>
      </c>
      <c r="D34" s="270">
        <f t="shared" ref="D34:S34" si="82">SUM(D35:D46)</f>
        <v>0</v>
      </c>
      <c r="E34" s="270">
        <f t="shared" si="82"/>
        <v>7849000000</v>
      </c>
      <c r="F34" s="289">
        <f t="shared" si="82"/>
        <v>4299000000</v>
      </c>
      <c r="G34" s="289">
        <f t="shared" si="82"/>
        <v>0</v>
      </c>
      <c r="H34" s="289">
        <f t="shared" si="82"/>
        <v>0</v>
      </c>
      <c r="I34" s="289">
        <f t="shared" si="82"/>
        <v>0</v>
      </c>
      <c r="J34" s="289">
        <f t="shared" si="82"/>
        <v>4299000000</v>
      </c>
      <c r="K34" s="289">
        <f t="shared" si="82"/>
        <v>4299000000</v>
      </c>
      <c r="L34" s="289">
        <f t="shared" si="82"/>
        <v>0</v>
      </c>
      <c r="M34" s="270">
        <f t="shared" si="82"/>
        <v>3550000000</v>
      </c>
      <c r="N34" s="270">
        <f t="shared" si="82"/>
        <v>0</v>
      </c>
      <c r="O34" s="270">
        <f t="shared" si="82"/>
        <v>0</v>
      </c>
      <c r="P34" s="270">
        <f t="shared" si="82"/>
        <v>0</v>
      </c>
      <c r="Q34" s="270">
        <f t="shared" si="82"/>
        <v>3550000000</v>
      </c>
      <c r="R34" s="270">
        <f t="shared" si="82"/>
        <v>3550000000</v>
      </c>
      <c r="S34" s="270">
        <f t="shared" si="82"/>
        <v>0</v>
      </c>
      <c r="T34" s="270">
        <v>7776899907</v>
      </c>
      <c r="U34" s="270">
        <v>0</v>
      </c>
      <c r="V34" s="270">
        <v>7776899907</v>
      </c>
      <c r="W34" s="270">
        <v>4258889107</v>
      </c>
      <c r="X34" s="289">
        <v>0</v>
      </c>
      <c r="Y34" s="289">
        <v>0</v>
      </c>
      <c r="Z34" s="289">
        <v>0</v>
      </c>
      <c r="AA34" s="289">
        <v>4258889107</v>
      </c>
      <c r="AB34" s="289">
        <v>4258889107</v>
      </c>
      <c r="AC34" s="289">
        <v>0</v>
      </c>
      <c r="AD34" s="270">
        <v>3518010800</v>
      </c>
      <c r="AE34" s="270">
        <v>0</v>
      </c>
      <c r="AF34" s="270">
        <v>0</v>
      </c>
      <c r="AG34" s="270">
        <v>0</v>
      </c>
      <c r="AH34" s="270">
        <v>3518010800</v>
      </c>
      <c r="AI34" s="270">
        <v>3518010800</v>
      </c>
      <c r="AJ34" s="270">
        <v>0</v>
      </c>
      <c r="AK34" s="267">
        <f t="shared" si="65"/>
        <v>0.99081410459931196</v>
      </c>
      <c r="AL34" s="267"/>
      <c r="AM34" s="267">
        <f t="shared" ref="AM34" si="83">V34/E34</f>
        <v>0.99081410459931196</v>
      </c>
      <c r="AN34" s="267">
        <f t="shared" si="67"/>
        <v>0.99066971551523608</v>
      </c>
      <c r="AO34" s="267"/>
      <c r="AP34" s="267"/>
      <c r="AQ34" s="267"/>
      <c r="AR34" s="267">
        <f t="shared" ref="AR34" si="84">AA34/J34</f>
        <v>0.99066971551523608</v>
      </c>
      <c r="AS34" s="267">
        <f t="shared" ref="AS34" si="85">AB34/K34</f>
        <v>0.99066971551523608</v>
      </c>
      <c r="AT34" s="267"/>
      <c r="AU34" s="267">
        <f t="shared" si="70"/>
        <v>0.99098895774647888</v>
      </c>
      <c r="AV34" s="267"/>
      <c r="AW34" s="267"/>
      <c r="AX34" s="267"/>
      <c r="AY34" s="267">
        <f t="shared" ref="AY34" si="86">AH34/Q34</f>
        <v>0.99098895774647888</v>
      </c>
      <c r="AZ34" s="267">
        <f t="shared" ref="AZ34" si="87">AI34/R34</f>
        <v>0.99098895774647888</v>
      </c>
      <c r="BA34" s="267"/>
    </row>
    <row r="35" spans="1:54" ht="20.100000000000001" customHeight="1">
      <c r="A35" s="230" t="s">
        <v>13</v>
      </c>
      <c r="B35" s="231" t="s">
        <v>282</v>
      </c>
      <c r="C35" s="232">
        <f t="shared" ref="C35:C46" si="88">D35+E35</f>
        <v>208000000</v>
      </c>
      <c r="D35" s="232">
        <f t="shared" ref="D35:D46" si="89">G35+N35</f>
        <v>0</v>
      </c>
      <c r="E35" s="232">
        <f t="shared" ref="E35:E46" si="90">J35+Q35</f>
        <v>208000000</v>
      </c>
      <c r="F35" s="290">
        <f t="shared" ref="F35:F46" si="91">G35+J35</f>
        <v>208000000</v>
      </c>
      <c r="G35" s="290">
        <f t="shared" ref="G35:G46" si="92">H35+I35</f>
        <v>0</v>
      </c>
      <c r="H35" s="290"/>
      <c r="I35" s="290"/>
      <c r="J35" s="290">
        <f t="shared" ref="J35:J46" si="93">K35+L35</f>
        <v>208000000</v>
      </c>
      <c r="K35" s="290">
        <v>208000000</v>
      </c>
      <c r="L35" s="290"/>
      <c r="M35" s="232">
        <f t="shared" ref="M35:M46" si="94">N35+Q35</f>
        <v>0</v>
      </c>
      <c r="N35" s="232">
        <f t="shared" ref="N35:N46" si="95">O35+P35</f>
        <v>0</v>
      </c>
      <c r="O35" s="232"/>
      <c r="P35" s="232"/>
      <c r="Q35" s="232">
        <f t="shared" ref="Q35:Q46" si="96">R35+S35</f>
        <v>0</v>
      </c>
      <c r="R35" s="232"/>
      <c r="S35" s="232"/>
      <c r="T35" s="232">
        <v>207976500</v>
      </c>
      <c r="U35" s="232">
        <v>0</v>
      </c>
      <c r="V35" s="232">
        <v>207976500</v>
      </c>
      <c r="W35" s="232">
        <v>207976500</v>
      </c>
      <c r="X35" s="290">
        <v>0</v>
      </c>
      <c r="Y35" s="290">
        <v>0</v>
      </c>
      <c r="Z35" s="290">
        <v>0</v>
      </c>
      <c r="AA35" s="290">
        <v>207976500</v>
      </c>
      <c r="AB35" s="290">
        <v>207976500</v>
      </c>
      <c r="AC35" s="290">
        <v>0</v>
      </c>
      <c r="AD35" s="232">
        <v>0</v>
      </c>
      <c r="AE35" s="232">
        <v>0</v>
      </c>
      <c r="AF35" s="232">
        <v>0</v>
      </c>
      <c r="AG35" s="232">
        <v>0</v>
      </c>
      <c r="AH35" s="232">
        <v>0</v>
      </c>
      <c r="AI35" s="232">
        <v>0</v>
      </c>
      <c r="AJ35" s="232">
        <v>0</v>
      </c>
      <c r="AK35" s="294">
        <f t="shared" ref="AK35" si="97">T35/C35</f>
        <v>0.99988701923076928</v>
      </c>
      <c r="AL35" s="294"/>
      <c r="AM35" s="294">
        <f t="shared" ref="AM35" si="98">V35/E35</f>
        <v>0.99988701923076928</v>
      </c>
      <c r="AN35" s="294">
        <f t="shared" ref="AN35" si="99">W35/F35</f>
        <v>0.99988701923076928</v>
      </c>
      <c r="AO35" s="294"/>
      <c r="AP35" s="294"/>
      <c r="AQ35" s="294"/>
      <c r="AR35" s="294">
        <f t="shared" ref="AR35" si="100">AA35/J35</f>
        <v>0.99988701923076928</v>
      </c>
      <c r="AS35" s="294">
        <f t="shared" ref="AS35" si="101">AB35/K35</f>
        <v>0.99988701923076928</v>
      </c>
      <c r="AT35" s="294"/>
      <c r="AU35" s="294"/>
      <c r="AV35" s="294"/>
      <c r="AW35" s="294"/>
      <c r="AX35" s="294"/>
      <c r="AY35" s="294"/>
      <c r="AZ35" s="294"/>
      <c r="BA35" s="294"/>
    </row>
    <row r="36" spans="1:54" ht="20.100000000000001" customHeight="1">
      <c r="A36" s="230" t="s">
        <v>21</v>
      </c>
      <c r="B36" s="231" t="s">
        <v>283</v>
      </c>
      <c r="C36" s="232">
        <f t="shared" si="88"/>
        <v>622000000</v>
      </c>
      <c r="D36" s="232">
        <f t="shared" si="89"/>
        <v>0</v>
      </c>
      <c r="E36" s="232">
        <f t="shared" si="90"/>
        <v>622000000</v>
      </c>
      <c r="F36" s="290">
        <f t="shared" si="91"/>
        <v>372000000</v>
      </c>
      <c r="G36" s="290">
        <f t="shared" si="92"/>
        <v>0</v>
      </c>
      <c r="H36" s="290"/>
      <c r="I36" s="290"/>
      <c r="J36" s="290">
        <f t="shared" si="93"/>
        <v>372000000</v>
      </c>
      <c r="K36" s="290">
        <v>372000000</v>
      </c>
      <c r="L36" s="290"/>
      <c r="M36" s="232">
        <f t="shared" si="94"/>
        <v>250000000</v>
      </c>
      <c r="N36" s="232">
        <f t="shared" si="95"/>
        <v>0</v>
      </c>
      <c r="O36" s="232"/>
      <c r="P36" s="232"/>
      <c r="Q36" s="232">
        <f t="shared" si="96"/>
        <v>250000000</v>
      </c>
      <c r="R36" s="232">
        <v>250000000</v>
      </c>
      <c r="S36" s="232"/>
      <c r="T36" s="232">
        <v>621999000</v>
      </c>
      <c r="U36" s="232">
        <v>0</v>
      </c>
      <c r="V36" s="232">
        <v>621999000</v>
      </c>
      <c r="W36" s="232">
        <v>372000000</v>
      </c>
      <c r="X36" s="290">
        <v>0</v>
      </c>
      <c r="Y36" s="290">
        <v>0</v>
      </c>
      <c r="Z36" s="290">
        <v>0</v>
      </c>
      <c r="AA36" s="290">
        <v>372000000</v>
      </c>
      <c r="AB36" s="290">
        <v>372000000</v>
      </c>
      <c r="AC36" s="290">
        <v>0</v>
      </c>
      <c r="AD36" s="232">
        <v>249999000</v>
      </c>
      <c r="AE36" s="232">
        <v>0</v>
      </c>
      <c r="AF36" s="232">
        <v>0</v>
      </c>
      <c r="AG36" s="232">
        <v>0</v>
      </c>
      <c r="AH36" s="232">
        <v>249999000</v>
      </c>
      <c r="AI36" s="232">
        <v>249999000</v>
      </c>
      <c r="AJ36" s="232">
        <v>0</v>
      </c>
      <c r="AK36" s="294">
        <f t="shared" ref="AK36:AK46" si="102">T36/C36</f>
        <v>0.99999839228295817</v>
      </c>
      <c r="AL36" s="294"/>
      <c r="AM36" s="294">
        <f t="shared" ref="AM36:AM46" si="103">V36/E36</f>
        <v>0.99999839228295817</v>
      </c>
      <c r="AN36" s="294">
        <f t="shared" ref="AN36:AN46" si="104">W36/F36</f>
        <v>1</v>
      </c>
      <c r="AO36" s="294"/>
      <c r="AP36" s="294"/>
      <c r="AQ36" s="294"/>
      <c r="AR36" s="294">
        <f t="shared" ref="AR36:AR46" si="105">AA36/J36</f>
        <v>1</v>
      </c>
      <c r="AS36" s="294">
        <f t="shared" ref="AS36:AS46" si="106">AB36/K36</f>
        <v>1</v>
      </c>
      <c r="AT36" s="294"/>
      <c r="AU36" s="294">
        <f t="shared" ref="AU36:AU46" si="107">AD36/M36</f>
        <v>0.999996</v>
      </c>
      <c r="AV36" s="294"/>
      <c r="AW36" s="294"/>
      <c r="AX36" s="294"/>
      <c r="AY36" s="294">
        <f t="shared" ref="AY36:AY46" si="108">AH36/Q36</f>
        <v>0.999996</v>
      </c>
      <c r="AZ36" s="294">
        <f t="shared" ref="AZ36:AZ46" si="109">AI36/R36</f>
        <v>0.999996</v>
      </c>
      <c r="BA36" s="294"/>
    </row>
    <row r="37" spans="1:54" ht="20.100000000000001" customHeight="1">
      <c r="A37" s="230" t="s">
        <v>30</v>
      </c>
      <c r="B37" s="231" t="s">
        <v>284</v>
      </c>
      <c r="C37" s="232">
        <f t="shared" si="88"/>
        <v>616000000</v>
      </c>
      <c r="D37" s="232">
        <f t="shared" si="89"/>
        <v>0</v>
      </c>
      <c r="E37" s="232">
        <f t="shared" si="90"/>
        <v>616000000</v>
      </c>
      <c r="F37" s="290">
        <f t="shared" si="91"/>
        <v>366000000</v>
      </c>
      <c r="G37" s="290">
        <f t="shared" si="92"/>
        <v>0</v>
      </c>
      <c r="H37" s="290"/>
      <c r="I37" s="290"/>
      <c r="J37" s="290">
        <f t="shared" si="93"/>
        <v>366000000</v>
      </c>
      <c r="K37" s="290">
        <v>366000000</v>
      </c>
      <c r="L37" s="290"/>
      <c r="M37" s="232">
        <f t="shared" si="94"/>
        <v>250000000</v>
      </c>
      <c r="N37" s="232">
        <f t="shared" si="95"/>
        <v>0</v>
      </c>
      <c r="O37" s="232"/>
      <c r="P37" s="232"/>
      <c r="Q37" s="232">
        <f t="shared" si="96"/>
        <v>250000000</v>
      </c>
      <c r="R37" s="232">
        <v>250000000</v>
      </c>
      <c r="S37" s="232"/>
      <c r="T37" s="232">
        <v>614252000</v>
      </c>
      <c r="U37" s="232">
        <v>0</v>
      </c>
      <c r="V37" s="232">
        <v>614252000</v>
      </c>
      <c r="W37" s="232">
        <v>364497000</v>
      </c>
      <c r="X37" s="290">
        <v>0</v>
      </c>
      <c r="Y37" s="290">
        <v>0</v>
      </c>
      <c r="Z37" s="290">
        <v>0</v>
      </c>
      <c r="AA37" s="290">
        <v>364497000</v>
      </c>
      <c r="AB37" s="290">
        <v>364497000</v>
      </c>
      <c r="AC37" s="290">
        <v>0</v>
      </c>
      <c r="AD37" s="232">
        <v>249755000</v>
      </c>
      <c r="AE37" s="232">
        <v>0</v>
      </c>
      <c r="AF37" s="232">
        <v>0</v>
      </c>
      <c r="AG37" s="232">
        <v>0</v>
      </c>
      <c r="AH37" s="232">
        <v>249755000</v>
      </c>
      <c r="AI37" s="232">
        <v>249755000</v>
      </c>
      <c r="AJ37" s="232">
        <v>0</v>
      </c>
      <c r="AK37" s="294">
        <f t="shared" si="102"/>
        <v>0.99716233766233764</v>
      </c>
      <c r="AL37" s="294"/>
      <c r="AM37" s="294">
        <f t="shared" si="103"/>
        <v>0.99716233766233764</v>
      </c>
      <c r="AN37" s="294">
        <f t="shared" si="104"/>
        <v>0.99589344262295088</v>
      </c>
      <c r="AO37" s="294"/>
      <c r="AP37" s="294"/>
      <c r="AQ37" s="294"/>
      <c r="AR37" s="294">
        <f t="shared" si="105"/>
        <v>0.99589344262295088</v>
      </c>
      <c r="AS37" s="294">
        <f t="shared" si="106"/>
        <v>0.99589344262295088</v>
      </c>
      <c r="AT37" s="294"/>
      <c r="AU37" s="294">
        <f t="shared" si="107"/>
        <v>0.99902000000000002</v>
      </c>
      <c r="AV37" s="294"/>
      <c r="AW37" s="294"/>
      <c r="AX37" s="294"/>
      <c r="AY37" s="294">
        <f t="shared" si="108"/>
        <v>0.99902000000000002</v>
      </c>
      <c r="AZ37" s="294">
        <f t="shared" si="109"/>
        <v>0.99902000000000002</v>
      </c>
      <c r="BA37" s="294"/>
    </row>
    <row r="38" spans="1:54" ht="20.100000000000001" customHeight="1">
      <c r="A38" s="230" t="s">
        <v>31</v>
      </c>
      <c r="B38" s="231" t="s">
        <v>285</v>
      </c>
      <c r="C38" s="232">
        <f t="shared" si="88"/>
        <v>634000000</v>
      </c>
      <c r="D38" s="232">
        <f t="shared" si="89"/>
        <v>0</v>
      </c>
      <c r="E38" s="232">
        <f t="shared" si="90"/>
        <v>634000000</v>
      </c>
      <c r="F38" s="290">
        <f t="shared" si="91"/>
        <v>384000000</v>
      </c>
      <c r="G38" s="290">
        <f t="shared" si="92"/>
        <v>0</v>
      </c>
      <c r="H38" s="290"/>
      <c r="I38" s="290"/>
      <c r="J38" s="290">
        <f t="shared" si="93"/>
        <v>384000000</v>
      </c>
      <c r="K38" s="290">
        <v>384000000</v>
      </c>
      <c r="L38" s="290"/>
      <c r="M38" s="232">
        <f t="shared" si="94"/>
        <v>250000000</v>
      </c>
      <c r="N38" s="232">
        <f t="shared" si="95"/>
        <v>0</v>
      </c>
      <c r="O38" s="232"/>
      <c r="P38" s="232"/>
      <c r="Q38" s="232">
        <f t="shared" si="96"/>
        <v>250000000</v>
      </c>
      <c r="R38" s="232">
        <v>250000000</v>
      </c>
      <c r="S38" s="232"/>
      <c r="T38" s="232">
        <v>632665000</v>
      </c>
      <c r="U38" s="232">
        <v>0</v>
      </c>
      <c r="V38" s="232">
        <v>632665000</v>
      </c>
      <c r="W38" s="232">
        <v>382665000</v>
      </c>
      <c r="X38" s="290">
        <v>0</v>
      </c>
      <c r="Y38" s="290">
        <v>0</v>
      </c>
      <c r="Z38" s="290">
        <v>0</v>
      </c>
      <c r="AA38" s="290">
        <v>382665000</v>
      </c>
      <c r="AB38" s="290">
        <v>382665000</v>
      </c>
      <c r="AC38" s="290">
        <v>0</v>
      </c>
      <c r="AD38" s="232">
        <v>250000000</v>
      </c>
      <c r="AE38" s="232">
        <v>0</v>
      </c>
      <c r="AF38" s="232">
        <v>0</v>
      </c>
      <c r="AG38" s="232">
        <v>0</v>
      </c>
      <c r="AH38" s="232">
        <v>250000000</v>
      </c>
      <c r="AI38" s="232">
        <v>250000000</v>
      </c>
      <c r="AJ38" s="232">
        <v>0</v>
      </c>
      <c r="AK38" s="294">
        <f t="shared" si="102"/>
        <v>0.99789432176656157</v>
      </c>
      <c r="AL38" s="294"/>
      <c r="AM38" s="294">
        <f t="shared" si="103"/>
        <v>0.99789432176656157</v>
      </c>
      <c r="AN38" s="294">
        <f t="shared" si="104"/>
        <v>0.99652343750000005</v>
      </c>
      <c r="AO38" s="294"/>
      <c r="AP38" s="294"/>
      <c r="AQ38" s="294"/>
      <c r="AR38" s="294">
        <f t="shared" si="105"/>
        <v>0.99652343750000005</v>
      </c>
      <c r="AS38" s="294">
        <f t="shared" si="106"/>
        <v>0.99652343750000005</v>
      </c>
      <c r="AT38" s="294"/>
      <c r="AU38" s="294">
        <f t="shared" si="107"/>
        <v>1</v>
      </c>
      <c r="AV38" s="294"/>
      <c r="AW38" s="294"/>
      <c r="AX38" s="294"/>
      <c r="AY38" s="294">
        <f t="shared" si="108"/>
        <v>1</v>
      </c>
      <c r="AZ38" s="294">
        <f t="shared" si="109"/>
        <v>1</v>
      </c>
      <c r="BA38" s="294"/>
    </row>
    <row r="39" spans="1:54" ht="20.100000000000001" customHeight="1">
      <c r="A39" s="230" t="s">
        <v>32</v>
      </c>
      <c r="B39" s="231" t="s">
        <v>286</v>
      </c>
      <c r="C39" s="232">
        <f t="shared" si="88"/>
        <v>403000000</v>
      </c>
      <c r="D39" s="232">
        <f t="shared" si="89"/>
        <v>0</v>
      </c>
      <c r="E39" s="232">
        <f t="shared" si="90"/>
        <v>403000000</v>
      </c>
      <c r="F39" s="290">
        <f t="shared" si="91"/>
        <v>153000000</v>
      </c>
      <c r="G39" s="290">
        <f t="shared" si="92"/>
        <v>0</v>
      </c>
      <c r="H39" s="290"/>
      <c r="I39" s="290"/>
      <c r="J39" s="290">
        <f t="shared" si="93"/>
        <v>153000000</v>
      </c>
      <c r="K39" s="290">
        <v>153000000</v>
      </c>
      <c r="L39" s="290"/>
      <c r="M39" s="232">
        <f t="shared" si="94"/>
        <v>250000000</v>
      </c>
      <c r="N39" s="232">
        <f t="shared" si="95"/>
        <v>0</v>
      </c>
      <c r="O39" s="232"/>
      <c r="P39" s="232"/>
      <c r="Q39" s="232">
        <f t="shared" si="96"/>
        <v>250000000</v>
      </c>
      <c r="R39" s="232">
        <v>250000000</v>
      </c>
      <c r="S39" s="232"/>
      <c r="T39" s="232">
        <v>397100000</v>
      </c>
      <c r="U39" s="232">
        <v>0</v>
      </c>
      <c r="V39" s="232">
        <v>397100000</v>
      </c>
      <c r="W39" s="232">
        <v>147100000</v>
      </c>
      <c r="X39" s="290">
        <v>0</v>
      </c>
      <c r="Y39" s="290">
        <v>0</v>
      </c>
      <c r="Z39" s="290">
        <v>0</v>
      </c>
      <c r="AA39" s="290">
        <v>147100000</v>
      </c>
      <c r="AB39" s="290">
        <v>147100000</v>
      </c>
      <c r="AC39" s="290">
        <v>0</v>
      </c>
      <c r="AD39" s="232">
        <v>250000000</v>
      </c>
      <c r="AE39" s="232">
        <v>0</v>
      </c>
      <c r="AF39" s="232">
        <v>0</v>
      </c>
      <c r="AG39" s="232">
        <v>0</v>
      </c>
      <c r="AH39" s="232">
        <v>250000000</v>
      </c>
      <c r="AI39" s="232">
        <v>250000000</v>
      </c>
      <c r="AJ39" s="232">
        <v>0</v>
      </c>
      <c r="AK39" s="294">
        <f t="shared" si="102"/>
        <v>0.98535980148883373</v>
      </c>
      <c r="AL39" s="294"/>
      <c r="AM39" s="294">
        <f t="shared" si="103"/>
        <v>0.98535980148883373</v>
      </c>
      <c r="AN39" s="294">
        <f t="shared" si="104"/>
        <v>0.96143790849673205</v>
      </c>
      <c r="AO39" s="294"/>
      <c r="AP39" s="294"/>
      <c r="AQ39" s="294"/>
      <c r="AR39" s="294">
        <f t="shared" si="105"/>
        <v>0.96143790849673205</v>
      </c>
      <c r="AS39" s="294">
        <f t="shared" si="106"/>
        <v>0.96143790849673205</v>
      </c>
      <c r="AT39" s="294"/>
      <c r="AU39" s="294">
        <f t="shared" si="107"/>
        <v>1</v>
      </c>
      <c r="AV39" s="294"/>
      <c r="AW39" s="294"/>
      <c r="AX39" s="294"/>
      <c r="AY39" s="294">
        <f t="shared" si="108"/>
        <v>1</v>
      </c>
      <c r="AZ39" s="294">
        <f t="shared" si="109"/>
        <v>1</v>
      </c>
      <c r="BA39" s="294"/>
    </row>
    <row r="40" spans="1:54" ht="20.100000000000001" customHeight="1">
      <c r="A40" s="230" t="s">
        <v>33</v>
      </c>
      <c r="B40" s="231" t="s">
        <v>287</v>
      </c>
      <c r="C40" s="232">
        <f t="shared" si="88"/>
        <v>598000000</v>
      </c>
      <c r="D40" s="232">
        <f t="shared" si="89"/>
        <v>0</v>
      </c>
      <c r="E40" s="232">
        <f t="shared" si="90"/>
        <v>598000000</v>
      </c>
      <c r="F40" s="290">
        <f t="shared" si="91"/>
        <v>348000000</v>
      </c>
      <c r="G40" s="290">
        <f t="shared" si="92"/>
        <v>0</v>
      </c>
      <c r="H40" s="290"/>
      <c r="I40" s="290"/>
      <c r="J40" s="290">
        <f t="shared" si="93"/>
        <v>348000000</v>
      </c>
      <c r="K40" s="290">
        <v>348000000</v>
      </c>
      <c r="L40" s="290"/>
      <c r="M40" s="232">
        <f t="shared" si="94"/>
        <v>250000000</v>
      </c>
      <c r="N40" s="232">
        <f t="shared" si="95"/>
        <v>0</v>
      </c>
      <c r="O40" s="232"/>
      <c r="P40" s="232"/>
      <c r="Q40" s="232">
        <f t="shared" si="96"/>
        <v>250000000</v>
      </c>
      <c r="R40" s="232">
        <v>250000000</v>
      </c>
      <c r="S40" s="232"/>
      <c r="T40" s="232">
        <v>583743800</v>
      </c>
      <c r="U40" s="232">
        <v>0</v>
      </c>
      <c r="V40" s="232">
        <v>583743800</v>
      </c>
      <c r="W40" s="232">
        <v>346611600</v>
      </c>
      <c r="X40" s="290">
        <v>0</v>
      </c>
      <c r="Y40" s="290">
        <v>0</v>
      </c>
      <c r="Z40" s="290">
        <v>0</v>
      </c>
      <c r="AA40" s="290">
        <v>346611600</v>
      </c>
      <c r="AB40" s="290">
        <v>346611600</v>
      </c>
      <c r="AC40" s="290">
        <v>0</v>
      </c>
      <c r="AD40" s="232">
        <v>237132200</v>
      </c>
      <c r="AE40" s="232">
        <v>0</v>
      </c>
      <c r="AF40" s="232">
        <v>0</v>
      </c>
      <c r="AG40" s="232">
        <v>0</v>
      </c>
      <c r="AH40" s="232">
        <v>237132200</v>
      </c>
      <c r="AI40" s="232">
        <v>237132200</v>
      </c>
      <c r="AJ40" s="232">
        <v>0</v>
      </c>
      <c r="AK40" s="294">
        <f t="shared" si="102"/>
        <v>0.97616020066889631</v>
      </c>
      <c r="AL40" s="294"/>
      <c r="AM40" s="294">
        <f t="shared" si="103"/>
        <v>0.97616020066889631</v>
      </c>
      <c r="AN40" s="294">
        <f t="shared" si="104"/>
        <v>0.99601034482758621</v>
      </c>
      <c r="AO40" s="294"/>
      <c r="AP40" s="294"/>
      <c r="AQ40" s="294"/>
      <c r="AR40" s="294">
        <f t="shared" si="105"/>
        <v>0.99601034482758621</v>
      </c>
      <c r="AS40" s="294">
        <f t="shared" si="106"/>
        <v>0.99601034482758621</v>
      </c>
      <c r="AT40" s="294"/>
      <c r="AU40" s="294">
        <f t="shared" si="107"/>
        <v>0.94852879999999995</v>
      </c>
      <c r="AV40" s="294"/>
      <c r="AW40" s="294"/>
      <c r="AX40" s="294"/>
      <c r="AY40" s="294">
        <f t="shared" si="108"/>
        <v>0.94852879999999995</v>
      </c>
      <c r="AZ40" s="294">
        <f t="shared" si="109"/>
        <v>0.94852879999999995</v>
      </c>
      <c r="BA40" s="294"/>
    </row>
    <row r="41" spans="1:54" ht="20.100000000000001" customHeight="1">
      <c r="A41" s="230" t="s">
        <v>34</v>
      </c>
      <c r="B41" s="231" t="s">
        <v>288</v>
      </c>
      <c r="C41" s="232">
        <f t="shared" si="88"/>
        <v>640000000</v>
      </c>
      <c r="D41" s="232">
        <f t="shared" si="89"/>
        <v>0</v>
      </c>
      <c r="E41" s="232">
        <f t="shared" si="90"/>
        <v>640000000</v>
      </c>
      <c r="F41" s="290">
        <f t="shared" si="91"/>
        <v>390000000</v>
      </c>
      <c r="G41" s="290">
        <f t="shared" si="92"/>
        <v>0</v>
      </c>
      <c r="H41" s="290"/>
      <c r="I41" s="290"/>
      <c r="J41" s="290">
        <f t="shared" si="93"/>
        <v>390000000</v>
      </c>
      <c r="K41" s="290">
        <v>390000000</v>
      </c>
      <c r="L41" s="290"/>
      <c r="M41" s="232">
        <f t="shared" si="94"/>
        <v>250000000</v>
      </c>
      <c r="N41" s="232">
        <f t="shared" si="95"/>
        <v>0</v>
      </c>
      <c r="O41" s="232"/>
      <c r="P41" s="232"/>
      <c r="Q41" s="232">
        <f t="shared" si="96"/>
        <v>250000000</v>
      </c>
      <c r="R41" s="232">
        <v>250000000</v>
      </c>
      <c r="S41" s="232"/>
      <c r="T41" s="232">
        <v>637775000</v>
      </c>
      <c r="U41" s="232">
        <v>0</v>
      </c>
      <c r="V41" s="232">
        <v>637775000</v>
      </c>
      <c r="W41" s="232">
        <v>387775000</v>
      </c>
      <c r="X41" s="290">
        <v>0</v>
      </c>
      <c r="Y41" s="290">
        <v>0</v>
      </c>
      <c r="Z41" s="290">
        <v>0</v>
      </c>
      <c r="AA41" s="290">
        <v>387775000</v>
      </c>
      <c r="AB41" s="290">
        <v>387775000</v>
      </c>
      <c r="AC41" s="290">
        <v>0</v>
      </c>
      <c r="AD41" s="232">
        <v>250000000</v>
      </c>
      <c r="AE41" s="232">
        <v>0</v>
      </c>
      <c r="AF41" s="232">
        <v>0</v>
      </c>
      <c r="AG41" s="232">
        <v>0</v>
      </c>
      <c r="AH41" s="232">
        <v>250000000</v>
      </c>
      <c r="AI41" s="232">
        <v>250000000</v>
      </c>
      <c r="AJ41" s="232">
        <v>0</v>
      </c>
      <c r="AK41" s="294">
        <f t="shared" si="102"/>
        <v>0.99652343750000005</v>
      </c>
      <c r="AL41" s="294"/>
      <c r="AM41" s="294">
        <f t="shared" si="103"/>
        <v>0.99652343750000005</v>
      </c>
      <c r="AN41" s="294">
        <f t="shared" si="104"/>
        <v>0.99429487179487175</v>
      </c>
      <c r="AO41" s="294"/>
      <c r="AP41" s="294"/>
      <c r="AQ41" s="294"/>
      <c r="AR41" s="294">
        <f t="shared" si="105"/>
        <v>0.99429487179487175</v>
      </c>
      <c r="AS41" s="294">
        <f t="shared" si="106"/>
        <v>0.99429487179487175</v>
      </c>
      <c r="AT41" s="294"/>
      <c r="AU41" s="294">
        <f t="shared" si="107"/>
        <v>1</v>
      </c>
      <c r="AV41" s="294"/>
      <c r="AW41" s="294"/>
      <c r="AX41" s="294"/>
      <c r="AY41" s="294">
        <f t="shared" si="108"/>
        <v>1</v>
      </c>
      <c r="AZ41" s="294">
        <f t="shared" si="109"/>
        <v>1</v>
      </c>
      <c r="BA41" s="294"/>
    </row>
    <row r="42" spans="1:54" ht="20.100000000000001" customHeight="1">
      <c r="A42" s="230" t="s">
        <v>35</v>
      </c>
      <c r="B42" s="231" t="s">
        <v>289</v>
      </c>
      <c r="C42" s="232">
        <f t="shared" si="88"/>
        <v>694000000</v>
      </c>
      <c r="D42" s="232">
        <f t="shared" si="89"/>
        <v>0</v>
      </c>
      <c r="E42" s="232">
        <f t="shared" si="90"/>
        <v>694000000</v>
      </c>
      <c r="F42" s="290">
        <f t="shared" si="91"/>
        <v>444000000</v>
      </c>
      <c r="G42" s="290">
        <f t="shared" si="92"/>
        <v>0</v>
      </c>
      <c r="H42" s="290"/>
      <c r="I42" s="290"/>
      <c r="J42" s="290">
        <f t="shared" si="93"/>
        <v>444000000</v>
      </c>
      <c r="K42" s="290">
        <v>444000000</v>
      </c>
      <c r="L42" s="290"/>
      <c r="M42" s="232">
        <f t="shared" si="94"/>
        <v>250000000</v>
      </c>
      <c r="N42" s="232">
        <f t="shared" si="95"/>
        <v>0</v>
      </c>
      <c r="O42" s="232"/>
      <c r="P42" s="232"/>
      <c r="Q42" s="232">
        <f t="shared" si="96"/>
        <v>250000000</v>
      </c>
      <c r="R42" s="232">
        <v>250000000</v>
      </c>
      <c r="S42" s="232"/>
      <c r="T42" s="232">
        <v>693359200</v>
      </c>
      <c r="U42" s="232">
        <v>0</v>
      </c>
      <c r="V42" s="232">
        <v>693359200</v>
      </c>
      <c r="W42" s="232">
        <v>443359200</v>
      </c>
      <c r="X42" s="290">
        <v>0</v>
      </c>
      <c r="Y42" s="290">
        <v>0</v>
      </c>
      <c r="Z42" s="290">
        <v>0</v>
      </c>
      <c r="AA42" s="290">
        <v>443359200</v>
      </c>
      <c r="AB42" s="290">
        <v>443359200</v>
      </c>
      <c r="AC42" s="290">
        <v>0</v>
      </c>
      <c r="AD42" s="232">
        <v>250000000</v>
      </c>
      <c r="AE42" s="232">
        <v>0</v>
      </c>
      <c r="AF42" s="232">
        <v>0</v>
      </c>
      <c r="AG42" s="232">
        <v>0</v>
      </c>
      <c r="AH42" s="232">
        <v>250000000</v>
      </c>
      <c r="AI42" s="232">
        <v>250000000</v>
      </c>
      <c r="AJ42" s="232">
        <v>0</v>
      </c>
      <c r="AK42" s="294">
        <f t="shared" si="102"/>
        <v>0.99907665706051874</v>
      </c>
      <c r="AL42" s="294"/>
      <c r="AM42" s="294">
        <f t="shared" si="103"/>
        <v>0.99907665706051874</v>
      </c>
      <c r="AN42" s="294">
        <f t="shared" si="104"/>
        <v>0.9985567567567567</v>
      </c>
      <c r="AO42" s="294"/>
      <c r="AP42" s="294"/>
      <c r="AQ42" s="294"/>
      <c r="AR42" s="294">
        <f t="shared" si="105"/>
        <v>0.9985567567567567</v>
      </c>
      <c r="AS42" s="294">
        <f t="shared" si="106"/>
        <v>0.9985567567567567</v>
      </c>
      <c r="AT42" s="294"/>
      <c r="AU42" s="294">
        <f t="shared" si="107"/>
        <v>1</v>
      </c>
      <c r="AV42" s="294"/>
      <c r="AW42" s="294"/>
      <c r="AX42" s="294"/>
      <c r="AY42" s="294">
        <f t="shared" si="108"/>
        <v>1</v>
      </c>
      <c r="AZ42" s="294">
        <f t="shared" si="109"/>
        <v>1</v>
      </c>
      <c r="BA42" s="294"/>
    </row>
    <row r="43" spans="1:54" ht="20.100000000000001" customHeight="1">
      <c r="A43" s="230" t="s">
        <v>36</v>
      </c>
      <c r="B43" s="231" t="s">
        <v>290</v>
      </c>
      <c r="C43" s="232">
        <f t="shared" si="88"/>
        <v>700000000</v>
      </c>
      <c r="D43" s="232">
        <f t="shared" si="89"/>
        <v>0</v>
      </c>
      <c r="E43" s="232">
        <f t="shared" si="90"/>
        <v>700000000</v>
      </c>
      <c r="F43" s="290">
        <f t="shared" si="91"/>
        <v>450000000</v>
      </c>
      <c r="G43" s="290">
        <f t="shared" si="92"/>
        <v>0</v>
      </c>
      <c r="H43" s="290"/>
      <c r="I43" s="290"/>
      <c r="J43" s="290">
        <f t="shared" si="93"/>
        <v>450000000</v>
      </c>
      <c r="K43" s="290">
        <v>450000000</v>
      </c>
      <c r="L43" s="290"/>
      <c r="M43" s="232">
        <f t="shared" si="94"/>
        <v>250000000</v>
      </c>
      <c r="N43" s="232">
        <f t="shared" si="95"/>
        <v>0</v>
      </c>
      <c r="O43" s="232"/>
      <c r="P43" s="232"/>
      <c r="Q43" s="232">
        <f t="shared" si="96"/>
        <v>250000000</v>
      </c>
      <c r="R43" s="232">
        <v>250000000</v>
      </c>
      <c r="S43" s="232"/>
      <c r="T43" s="232">
        <v>679160000</v>
      </c>
      <c r="U43" s="232">
        <v>0</v>
      </c>
      <c r="V43" s="232">
        <v>679160000</v>
      </c>
      <c r="W43" s="232">
        <v>429160000</v>
      </c>
      <c r="X43" s="290">
        <v>0</v>
      </c>
      <c r="Y43" s="290">
        <v>0</v>
      </c>
      <c r="Z43" s="290">
        <v>0</v>
      </c>
      <c r="AA43" s="290">
        <v>429160000</v>
      </c>
      <c r="AB43" s="290">
        <v>429160000</v>
      </c>
      <c r="AC43" s="290">
        <v>0</v>
      </c>
      <c r="AD43" s="232">
        <v>250000000</v>
      </c>
      <c r="AE43" s="232">
        <v>0</v>
      </c>
      <c r="AF43" s="232">
        <v>0</v>
      </c>
      <c r="AG43" s="232">
        <v>0</v>
      </c>
      <c r="AH43" s="232">
        <v>250000000</v>
      </c>
      <c r="AI43" s="232">
        <v>250000000</v>
      </c>
      <c r="AJ43" s="232">
        <v>0</v>
      </c>
      <c r="AK43" s="294">
        <f t="shared" si="102"/>
        <v>0.97022857142857144</v>
      </c>
      <c r="AL43" s="294"/>
      <c r="AM43" s="294">
        <f t="shared" si="103"/>
        <v>0.97022857142857144</v>
      </c>
      <c r="AN43" s="294">
        <f t="shared" si="104"/>
        <v>0.95368888888888892</v>
      </c>
      <c r="AO43" s="294"/>
      <c r="AP43" s="294"/>
      <c r="AQ43" s="294"/>
      <c r="AR43" s="294">
        <f t="shared" si="105"/>
        <v>0.95368888888888892</v>
      </c>
      <c r="AS43" s="294">
        <f t="shared" si="106"/>
        <v>0.95368888888888892</v>
      </c>
      <c r="AT43" s="294"/>
      <c r="AU43" s="294">
        <f t="shared" si="107"/>
        <v>1</v>
      </c>
      <c r="AV43" s="294"/>
      <c r="AW43" s="294"/>
      <c r="AX43" s="294"/>
      <c r="AY43" s="294">
        <f t="shared" si="108"/>
        <v>1</v>
      </c>
      <c r="AZ43" s="294">
        <f t="shared" si="109"/>
        <v>1</v>
      </c>
      <c r="BA43" s="294"/>
    </row>
    <row r="44" spans="1:54" ht="20.100000000000001" customHeight="1">
      <c r="A44" s="230" t="s">
        <v>37</v>
      </c>
      <c r="B44" s="231" t="s">
        <v>291</v>
      </c>
      <c r="C44" s="232">
        <f t="shared" si="88"/>
        <v>952000000</v>
      </c>
      <c r="D44" s="232">
        <f t="shared" si="89"/>
        <v>0</v>
      </c>
      <c r="E44" s="232">
        <f t="shared" si="90"/>
        <v>952000000</v>
      </c>
      <c r="F44" s="290">
        <f t="shared" si="91"/>
        <v>402000000</v>
      </c>
      <c r="G44" s="290">
        <f t="shared" si="92"/>
        <v>0</v>
      </c>
      <c r="H44" s="290"/>
      <c r="I44" s="290"/>
      <c r="J44" s="290">
        <f t="shared" si="93"/>
        <v>402000000</v>
      </c>
      <c r="K44" s="290">
        <v>402000000</v>
      </c>
      <c r="L44" s="290"/>
      <c r="M44" s="232">
        <f t="shared" si="94"/>
        <v>550000000</v>
      </c>
      <c r="N44" s="232">
        <f t="shared" si="95"/>
        <v>0</v>
      </c>
      <c r="O44" s="232"/>
      <c r="P44" s="232"/>
      <c r="Q44" s="232">
        <f t="shared" si="96"/>
        <v>550000000</v>
      </c>
      <c r="R44" s="232">
        <v>550000000</v>
      </c>
      <c r="S44" s="232"/>
      <c r="T44" s="232">
        <v>936657600</v>
      </c>
      <c r="U44" s="232">
        <v>0</v>
      </c>
      <c r="V44" s="232">
        <v>936657600</v>
      </c>
      <c r="W44" s="232">
        <v>398250000</v>
      </c>
      <c r="X44" s="290">
        <v>0</v>
      </c>
      <c r="Y44" s="290">
        <v>0</v>
      </c>
      <c r="Z44" s="290">
        <v>0</v>
      </c>
      <c r="AA44" s="290">
        <v>398250000</v>
      </c>
      <c r="AB44" s="290">
        <v>398250000</v>
      </c>
      <c r="AC44" s="290">
        <v>0</v>
      </c>
      <c r="AD44" s="232">
        <v>538407600</v>
      </c>
      <c r="AE44" s="232">
        <v>0</v>
      </c>
      <c r="AF44" s="232">
        <v>0</v>
      </c>
      <c r="AG44" s="232">
        <v>0</v>
      </c>
      <c r="AH44" s="232">
        <v>538407600</v>
      </c>
      <c r="AI44" s="232">
        <v>538407600</v>
      </c>
      <c r="AJ44" s="232">
        <v>0</v>
      </c>
      <c r="AK44" s="294">
        <f t="shared" si="102"/>
        <v>0.98388403361344534</v>
      </c>
      <c r="AL44" s="294"/>
      <c r="AM44" s="294">
        <f t="shared" si="103"/>
        <v>0.98388403361344534</v>
      </c>
      <c r="AN44" s="294">
        <f t="shared" si="104"/>
        <v>0.99067164179104472</v>
      </c>
      <c r="AO44" s="294"/>
      <c r="AP44" s="294"/>
      <c r="AQ44" s="294"/>
      <c r="AR44" s="294">
        <f t="shared" si="105"/>
        <v>0.99067164179104472</v>
      </c>
      <c r="AS44" s="294">
        <f t="shared" si="106"/>
        <v>0.99067164179104472</v>
      </c>
      <c r="AT44" s="294"/>
      <c r="AU44" s="294">
        <f t="shared" si="107"/>
        <v>0.97892290909090907</v>
      </c>
      <c r="AV44" s="294"/>
      <c r="AW44" s="294"/>
      <c r="AX44" s="294"/>
      <c r="AY44" s="294">
        <f t="shared" si="108"/>
        <v>0.97892290909090907</v>
      </c>
      <c r="AZ44" s="294">
        <f t="shared" si="109"/>
        <v>0.97892290909090907</v>
      </c>
      <c r="BA44" s="294"/>
    </row>
    <row r="45" spans="1:54" ht="20.100000000000001" customHeight="1">
      <c r="A45" s="230" t="s">
        <v>38</v>
      </c>
      <c r="B45" s="231" t="s">
        <v>292</v>
      </c>
      <c r="C45" s="232">
        <f t="shared" si="88"/>
        <v>634000000</v>
      </c>
      <c r="D45" s="232">
        <f t="shared" si="89"/>
        <v>0</v>
      </c>
      <c r="E45" s="232">
        <f t="shared" si="90"/>
        <v>634000000</v>
      </c>
      <c r="F45" s="290">
        <f t="shared" si="91"/>
        <v>384000000</v>
      </c>
      <c r="G45" s="290">
        <f t="shared" si="92"/>
        <v>0</v>
      </c>
      <c r="H45" s="290"/>
      <c r="I45" s="290"/>
      <c r="J45" s="290">
        <f t="shared" si="93"/>
        <v>384000000</v>
      </c>
      <c r="K45" s="290">
        <v>384000000</v>
      </c>
      <c r="L45" s="290"/>
      <c r="M45" s="232">
        <f t="shared" si="94"/>
        <v>250000000</v>
      </c>
      <c r="N45" s="232">
        <f t="shared" si="95"/>
        <v>0</v>
      </c>
      <c r="O45" s="232"/>
      <c r="P45" s="232"/>
      <c r="Q45" s="232">
        <f t="shared" si="96"/>
        <v>250000000</v>
      </c>
      <c r="R45" s="232">
        <v>250000000</v>
      </c>
      <c r="S45" s="232"/>
      <c r="T45" s="232">
        <v>631812000</v>
      </c>
      <c r="U45" s="232">
        <v>0</v>
      </c>
      <c r="V45" s="232">
        <v>631812000</v>
      </c>
      <c r="W45" s="232">
        <v>381900000</v>
      </c>
      <c r="X45" s="290">
        <v>0</v>
      </c>
      <c r="Y45" s="290">
        <v>0</v>
      </c>
      <c r="Z45" s="290">
        <v>0</v>
      </c>
      <c r="AA45" s="290">
        <v>381900000</v>
      </c>
      <c r="AB45" s="290">
        <v>381900000</v>
      </c>
      <c r="AC45" s="290">
        <v>0</v>
      </c>
      <c r="AD45" s="232">
        <v>249912000</v>
      </c>
      <c r="AE45" s="232">
        <v>0</v>
      </c>
      <c r="AF45" s="232">
        <v>0</v>
      </c>
      <c r="AG45" s="232">
        <v>0</v>
      </c>
      <c r="AH45" s="232">
        <v>249912000</v>
      </c>
      <c r="AI45" s="232">
        <v>249912000</v>
      </c>
      <c r="AJ45" s="232">
        <v>0</v>
      </c>
      <c r="AK45" s="294">
        <f t="shared" si="102"/>
        <v>0.9965488958990536</v>
      </c>
      <c r="AL45" s="294"/>
      <c r="AM45" s="294">
        <f t="shared" si="103"/>
        <v>0.9965488958990536</v>
      </c>
      <c r="AN45" s="294">
        <f t="shared" si="104"/>
        <v>0.99453124999999998</v>
      </c>
      <c r="AO45" s="294"/>
      <c r="AP45" s="294"/>
      <c r="AQ45" s="294"/>
      <c r="AR45" s="294">
        <f t="shared" si="105"/>
        <v>0.99453124999999998</v>
      </c>
      <c r="AS45" s="294">
        <f t="shared" si="106"/>
        <v>0.99453124999999998</v>
      </c>
      <c r="AT45" s="294"/>
      <c r="AU45" s="294">
        <f t="shared" si="107"/>
        <v>0.99964799999999998</v>
      </c>
      <c r="AV45" s="294"/>
      <c r="AW45" s="294"/>
      <c r="AX45" s="294"/>
      <c r="AY45" s="294">
        <f t="shared" si="108"/>
        <v>0.99964799999999998</v>
      </c>
      <c r="AZ45" s="294">
        <f t="shared" si="109"/>
        <v>0.99964799999999998</v>
      </c>
      <c r="BA45" s="294"/>
    </row>
    <row r="46" spans="1:54" ht="20.100000000000001" customHeight="1">
      <c r="A46" s="238" t="s">
        <v>39</v>
      </c>
      <c r="B46" s="233" t="s">
        <v>293</v>
      </c>
      <c r="C46" s="234">
        <f t="shared" si="88"/>
        <v>1148000000</v>
      </c>
      <c r="D46" s="234">
        <f t="shared" si="89"/>
        <v>0</v>
      </c>
      <c r="E46" s="234">
        <f t="shared" si="90"/>
        <v>1148000000</v>
      </c>
      <c r="F46" s="293">
        <f t="shared" si="91"/>
        <v>398000000</v>
      </c>
      <c r="G46" s="293">
        <f t="shared" si="92"/>
        <v>0</v>
      </c>
      <c r="H46" s="293"/>
      <c r="I46" s="293"/>
      <c r="J46" s="293">
        <f t="shared" si="93"/>
        <v>398000000</v>
      </c>
      <c r="K46" s="293">
        <v>398000000</v>
      </c>
      <c r="L46" s="293"/>
      <c r="M46" s="234">
        <f t="shared" si="94"/>
        <v>750000000</v>
      </c>
      <c r="N46" s="234">
        <f t="shared" si="95"/>
        <v>0</v>
      </c>
      <c r="O46" s="234"/>
      <c r="P46" s="234"/>
      <c r="Q46" s="234">
        <f t="shared" si="96"/>
        <v>750000000</v>
      </c>
      <c r="R46" s="234">
        <v>750000000</v>
      </c>
      <c r="S46" s="234"/>
      <c r="T46" s="234">
        <v>1140399807</v>
      </c>
      <c r="U46" s="234">
        <v>0</v>
      </c>
      <c r="V46" s="234">
        <v>1140399807</v>
      </c>
      <c r="W46" s="234">
        <v>397594807</v>
      </c>
      <c r="X46" s="293">
        <v>0</v>
      </c>
      <c r="Y46" s="293">
        <v>0</v>
      </c>
      <c r="Z46" s="293">
        <v>0</v>
      </c>
      <c r="AA46" s="293">
        <v>397594807</v>
      </c>
      <c r="AB46" s="293">
        <v>397594807</v>
      </c>
      <c r="AC46" s="293">
        <v>0</v>
      </c>
      <c r="AD46" s="234">
        <v>742805000</v>
      </c>
      <c r="AE46" s="234">
        <v>0</v>
      </c>
      <c r="AF46" s="234">
        <v>0</v>
      </c>
      <c r="AG46" s="234">
        <v>0</v>
      </c>
      <c r="AH46" s="234">
        <v>742805000</v>
      </c>
      <c r="AI46" s="234">
        <v>742805000</v>
      </c>
      <c r="AJ46" s="234">
        <v>0</v>
      </c>
      <c r="AK46" s="306">
        <f t="shared" si="102"/>
        <v>0.99337962282229963</v>
      </c>
      <c r="AL46" s="306"/>
      <c r="AM46" s="306">
        <f t="shared" si="103"/>
        <v>0.99337962282229963</v>
      </c>
      <c r="AN46" s="306">
        <f t="shared" si="104"/>
        <v>0.99898192713567835</v>
      </c>
      <c r="AO46" s="306"/>
      <c r="AP46" s="306"/>
      <c r="AQ46" s="306"/>
      <c r="AR46" s="306">
        <f t="shared" si="105"/>
        <v>0.99898192713567835</v>
      </c>
      <c r="AS46" s="306">
        <f t="shared" si="106"/>
        <v>0.99898192713567835</v>
      </c>
      <c r="AT46" s="306"/>
      <c r="AU46" s="306">
        <f t="shared" si="107"/>
        <v>0.99040666666666666</v>
      </c>
      <c r="AV46" s="306"/>
      <c r="AW46" s="306"/>
      <c r="AX46" s="306"/>
      <c r="AY46" s="306">
        <f t="shared" si="108"/>
        <v>0.99040666666666666</v>
      </c>
      <c r="AZ46" s="306">
        <f t="shared" si="109"/>
        <v>0.99040666666666666</v>
      </c>
      <c r="BA46" s="306"/>
    </row>
    <row r="47" spans="1:54">
      <c r="A47" s="358" t="s">
        <v>0</v>
      </c>
      <c r="B47" s="358"/>
      <c r="C47" s="358"/>
      <c r="D47" s="358"/>
      <c r="E47" s="358"/>
      <c r="F47" s="358"/>
      <c r="G47" s="358"/>
      <c r="H47" s="358"/>
      <c r="I47" s="358"/>
      <c r="J47" s="358"/>
      <c r="K47" s="358"/>
      <c r="L47" s="358"/>
      <c r="M47" s="358"/>
      <c r="N47" s="358"/>
      <c r="O47" s="358"/>
      <c r="P47" s="358"/>
      <c r="Q47" s="358"/>
      <c r="R47" s="358"/>
      <c r="S47" s="358"/>
      <c r="T47" s="358"/>
      <c r="U47" s="358"/>
      <c r="V47" s="358"/>
      <c r="W47" s="358"/>
      <c r="X47" s="358"/>
      <c r="Y47" s="358"/>
      <c r="Z47" s="358"/>
      <c r="AA47" s="358"/>
      <c r="AB47" s="358"/>
      <c r="AC47" s="358"/>
      <c r="AD47" s="358"/>
      <c r="AE47" s="358"/>
      <c r="AF47" s="358"/>
      <c r="AG47" s="358"/>
      <c r="AH47" s="358"/>
      <c r="AI47" s="358"/>
      <c r="AJ47" s="358"/>
      <c r="AK47" s="358"/>
      <c r="AL47" s="358"/>
      <c r="AM47" s="358"/>
      <c r="AN47" s="358"/>
      <c r="AO47" s="358"/>
      <c r="AP47" s="358"/>
      <c r="AQ47" s="358"/>
      <c r="AR47" s="358"/>
      <c r="AS47" s="358"/>
      <c r="AT47" s="358"/>
      <c r="AU47" s="358"/>
      <c r="AV47" s="358"/>
      <c r="AW47" s="358"/>
      <c r="AX47" s="358"/>
      <c r="AY47" s="358"/>
      <c r="AZ47" s="358"/>
      <c r="BA47" s="358"/>
      <c r="BB47" s="358"/>
    </row>
  </sheetData>
  <mergeCells count="75">
    <mergeCell ref="AH3:AT3"/>
    <mergeCell ref="AH4:AT4"/>
    <mergeCell ref="C3:L3"/>
    <mergeCell ref="C4:L4"/>
    <mergeCell ref="M3:V3"/>
    <mergeCell ref="M4:V4"/>
    <mergeCell ref="W3:AG3"/>
    <mergeCell ref="W4:AG4"/>
    <mergeCell ref="AI11:AJ11"/>
    <mergeCell ref="A8:A12"/>
    <mergeCell ref="A47:BB47"/>
    <mergeCell ref="AR11:AR12"/>
    <mergeCell ref="AS11:AT11"/>
    <mergeCell ref="AV10:AX10"/>
    <mergeCell ref="AY10:BA10"/>
    <mergeCell ref="G11:G12"/>
    <mergeCell ref="H11:I11"/>
    <mergeCell ref="J11:J12"/>
    <mergeCell ref="K11:L11"/>
    <mergeCell ref="N11:N12"/>
    <mergeCell ref="O11:P11"/>
    <mergeCell ref="Q11:Q12"/>
    <mergeCell ref="AU10:AU12"/>
    <mergeCell ref="AU9:BA9"/>
    <mergeCell ref="V10:V12"/>
    <mergeCell ref="AY11:AY12"/>
    <mergeCell ref="AM10:AM12"/>
    <mergeCell ref="AN10:AN12"/>
    <mergeCell ref="AO10:AQ10"/>
    <mergeCell ref="AR10:AT10"/>
    <mergeCell ref="AO11:AO12"/>
    <mergeCell ref="AP11:AQ11"/>
    <mergeCell ref="AH10:AJ10"/>
    <mergeCell ref="AL10:AL12"/>
    <mergeCell ref="W10:W12"/>
    <mergeCell ref="AV11:AV12"/>
    <mergeCell ref="AW11:AX11"/>
    <mergeCell ref="AH11:AH12"/>
    <mergeCell ref="X11:X12"/>
    <mergeCell ref="Y11:Z11"/>
    <mergeCell ref="AA11:AA12"/>
    <mergeCell ref="AB11:AC11"/>
    <mergeCell ref="AE11:AE12"/>
    <mergeCell ref="B8:B12"/>
    <mergeCell ref="C8:S8"/>
    <mergeCell ref="T8:AJ8"/>
    <mergeCell ref="AK8:BA8"/>
    <mergeCell ref="C9:C12"/>
    <mergeCell ref="X10:Z10"/>
    <mergeCell ref="AA10:AC10"/>
    <mergeCell ref="AD10:AD12"/>
    <mergeCell ref="AE10:AG10"/>
    <mergeCell ref="AF11:AG11"/>
    <mergeCell ref="AK9:AK12"/>
    <mergeCell ref="AL9:AM9"/>
    <mergeCell ref="AN9:AT9"/>
    <mergeCell ref="D9:E9"/>
    <mergeCell ref="F9:L9"/>
    <mergeCell ref="AZ11:BA11"/>
    <mergeCell ref="AD9:AG9"/>
    <mergeCell ref="AH9:AJ9"/>
    <mergeCell ref="M9:S9"/>
    <mergeCell ref="T9:T12"/>
    <mergeCell ref="D10:D12"/>
    <mergeCell ref="E10:E12"/>
    <mergeCell ref="F10:F12"/>
    <mergeCell ref="G10:I10"/>
    <mergeCell ref="J10:L10"/>
    <mergeCell ref="U9:V9"/>
    <mergeCell ref="W9:AC9"/>
    <mergeCell ref="M10:M12"/>
    <mergeCell ref="N10:P10"/>
    <mergeCell ref="Q10:S10"/>
    <mergeCell ref="U10:U12"/>
    <mergeCell ref="R11:S11"/>
  </mergeCells>
  <pageMargins left="0.69" right="0.16" top="0.61" bottom="0.56999999999999995" header="0.3" footer="0.3"/>
  <pageSetup paperSize="9" scale="75" orientation="landscape" verticalDpi="0" r:id="rId1"/>
  <headerFooter>
    <oddFooter>&amp;C&amp;P/&amp;N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25</vt:i4>
      </vt:variant>
    </vt:vector>
  </HeadingPairs>
  <TitlesOfParts>
    <vt:vector size="34" baseType="lpstr">
      <vt:lpstr>48</vt:lpstr>
      <vt:lpstr>50</vt:lpstr>
      <vt:lpstr>51</vt:lpstr>
      <vt:lpstr>52</vt:lpstr>
      <vt:lpstr>53</vt:lpstr>
      <vt:lpstr>54</vt:lpstr>
      <vt:lpstr>58</vt:lpstr>
      <vt:lpstr>59</vt:lpstr>
      <vt:lpstr>61</vt:lpstr>
      <vt:lpstr>'58'!page\x2dtotal</vt:lpstr>
      <vt:lpstr>'59'!page\x2dtotal</vt:lpstr>
      <vt:lpstr>'61'!page\x2dtotal</vt:lpstr>
      <vt:lpstr>page\x2dtotal</vt:lpstr>
      <vt:lpstr>'58'!page\x2dtotal\x2dmaster0</vt:lpstr>
      <vt:lpstr>'59'!page\x2dtotal\x2dmaster0</vt:lpstr>
      <vt:lpstr>'61'!page\x2dtotal\x2dmaster0</vt:lpstr>
      <vt:lpstr>page\x2dtotal\x2dmaster0</vt:lpstr>
      <vt:lpstr>'48'!Print_Area</vt:lpstr>
      <vt:lpstr>'50'!Print_Area</vt:lpstr>
      <vt:lpstr>'51'!Print_Area</vt:lpstr>
      <vt:lpstr>'52'!Print_Area</vt:lpstr>
      <vt:lpstr>'53'!Print_Area</vt:lpstr>
      <vt:lpstr>'54'!Print_Area</vt:lpstr>
      <vt:lpstr>'58'!Print_Area</vt:lpstr>
      <vt:lpstr>'59'!Print_Area</vt:lpstr>
      <vt:lpstr>'61'!Print_Area</vt:lpstr>
      <vt:lpstr>'48'!Print_Titles</vt:lpstr>
      <vt:lpstr>'50'!Print_Titles</vt:lpstr>
      <vt:lpstr>'51'!Print_Titles</vt:lpstr>
      <vt:lpstr>'53'!Print_Titles</vt:lpstr>
      <vt:lpstr>'54'!Print_Titles</vt:lpstr>
      <vt:lpstr>'58'!Print_Titles</vt:lpstr>
      <vt:lpstr>'59'!Print_Titles</vt:lpstr>
      <vt:lpstr>'61'!Print_Titles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2020-04-10T09:01:29Z</dcterms:created>
  <dcterms:modified xsi:type="dcterms:W3CDTF">2020-07-07T02:18:40Z</dcterms:modified>
</cp:coreProperties>
</file>