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4240" windowHeight="13140"/>
  </bookViews>
  <sheets>
    <sheet name="48" sheetId="10" r:id="rId1"/>
    <sheet name="50" sheetId="12" r:id="rId2"/>
    <sheet name="51" sheetId="13" r:id="rId3"/>
    <sheet name="52" sheetId="2" r:id="rId4"/>
    <sheet name="53" sheetId="3" r:id="rId5"/>
    <sheet name="54" sheetId="4" r:id="rId6"/>
    <sheet name="58" sheetId="7" r:id="rId7"/>
    <sheet name="59" sheetId="8" r:id="rId8"/>
    <sheet name="61" sheetId="9" r:id="rId9"/>
  </sheets>
  <externalReferences>
    <externalReference r:id="rId10"/>
  </externalReferences>
  <definedNames>
    <definedName name="_xlnm._FilterDatabase" localSheetId="4" hidden="1">'53'!$A$11:$K$66</definedName>
    <definedName name="_xlnm._FilterDatabase" localSheetId="5" hidden="1">'54'!$A$1:$Y$114</definedName>
    <definedName name="ADP">#REF!</definedName>
    <definedName name="AKHAC">#REF!</definedName>
    <definedName name="ALTINH">#REF!</definedName>
    <definedName name="Anguon" localSheetId="0">'[1]Dt 2001'!#REF!</definedName>
    <definedName name="Anguon">'[1]Dt 2001'!#REF!</definedName>
    <definedName name="ANN">#REF!</definedName>
    <definedName name="ANQD">#REF!</definedName>
    <definedName name="ANQQH" localSheetId="0">'[1]Dt 2001'!#REF!</definedName>
    <definedName name="ANQQH">'[1]Dt 2001'!#REF!</definedName>
    <definedName name="ANSNN" localSheetId="0">'[1]Dt 2001'!#REF!</definedName>
    <definedName name="ANSNN">'[1]Dt 2001'!#REF!</definedName>
    <definedName name="ANSNNxnk" localSheetId="0">'[1]Dt 2001'!#REF!</definedName>
    <definedName name="ANSNNxnk">'[1]Dt 2001'!#REF!</definedName>
    <definedName name="APC" localSheetId="0">'[1]Dt 2001'!#REF!</definedName>
    <definedName name="APC">'[1]Dt 2001'!#REF!</definedName>
    <definedName name="ATW">#REF!</definedName>
    <definedName name="Can_doi">#REF!</definedName>
    <definedName name="DNNN">#REF!</definedName>
    <definedName name="Khac">#REF!</definedName>
    <definedName name="Khong_can_doi">#REF!</definedName>
    <definedName name="NQD">#REF!</definedName>
    <definedName name="NQQH" localSheetId="0">'[1]Dt 2001'!#REF!</definedName>
    <definedName name="NQQH">'[1]Dt 2001'!#REF!</definedName>
    <definedName name="NSNN" localSheetId="0">'[1]Dt 2001'!#REF!</definedName>
    <definedName name="NSNN">'[1]Dt 2001'!#REF!</definedName>
    <definedName name="page\x2dtotal" localSheetId="6">'58'!$A$27</definedName>
    <definedName name="page\x2dtotal" localSheetId="7">'59'!$A$26</definedName>
    <definedName name="page\x2dtotal" localSheetId="8">'61'!$A$49</definedName>
    <definedName name="page\x2dtotal">'54'!$A$121</definedName>
    <definedName name="page\x2dtotal\x2dmaster0" localSheetId="6">'58'!$A$27</definedName>
    <definedName name="page\x2dtotal\x2dmaster0" localSheetId="7">'59'!$A$26</definedName>
    <definedName name="page\x2dtotal\x2dmaster0" localSheetId="8">'61'!$A$49</definedName>
    <definedName name="page\x2dtotal\x2dmaster0">'54'!$A$121</definedName>
    <definedName name="PC" localSheetId="0">'[1]Dt 2001'!#REF!</definedName>
    <definedName name="PC">'[1]Dt 2001'!#REF!</definedName>
    <definedName name="Phan_cap">#REF!</definedName>
    <definedName name="Phi_le_phi">#REF!</definedName>
    <definedName name="_xlnm.Print_Area" localSheetId="0">'48'!$A$1:$F$44</definedName>
    <definedName name="_xlnm.Print_Area" localSheetId="1">'50'!$A$1:$H$69</definedName>
    <definedName name="_xlnm.Print_Area" localSheetId="2">'51'!$A$1:$E$41</definedName>
    <definedName name="_xlnm.Print_Area" localSheetId="3">'52'!$A$1:$F$50</definedName>
    <definedName name="_xlnm.Print_Area" localSheetId="4">'53'!$A$1:$K$65</definedName>
    <definedName name="_xlnm.Print_Area" localSheetId="5">'54'!$A$1:$Y$118</definedName>
    <definedName name="_xlnm.Print_Area" localSheetId="6">'58'!$A$1:$V$25</definedName>
    <definedName name="_xlnm.Print_Area" localSheetId="7">'59'!$A$1:$Z$24</definedName>
    <definedName name="_xlnm.Print_Area" localSheetId="8">'61'!$A$1:$BV$48</definedName>
    <definedName name="_xlnm.Print_Area">#REF!</definedName>
    <definedName name="PRINT_AREA_MI" localSheetId="0">#REF!</definedName>
    <definedName name="PRINT_AREA_MI">#REF!</definedName>
    <definedName name="_xlnm.Print_Titles" localSheetId="0">'48'!$8:$9</definedName>
    <definedName name="_xlnm.Print_Titles" localSheetId="1">'50'!$7:$9</definedName>
    <definedName name="_xlnm.Print_Titles" localSheetId="2">'51'!$8:$9</definedName>
    <definedName name="_xlnm.Print_Titles" localSheetId="3">'52'!$7:$9</definedName>
    <definedName name="_xlnm.Print_Titles" localSheetId="4">'53'!$8:$10</definedName>
    <definedName name="_xlnm.Print_Titles" localSheetId="5">'54'!$A:$B,'54'!$5:$9</definedName>
    <definedName name="_xlnm.Print_Titles" localSheetId="8">'61'!$A:$B,'61'!$7:$12</definedName>
    <definedName name="TW">#REF!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0" i="7" l="1"/>
  <c r="C13" i="10"/>
  <c r="BM17" i="9" l="1"/>
  <c r="BN17" i="9"/>
  <c r="BP17" i="9"/>
  <c r="BT17" i="9"/>
  <c r="BU17" i="9"/>
  <c r="BP18" i="9"/>
  <c r="BT18" i="9"/>
  <c r="BU18" i="9"/>
  <c r="BP19" i="9"/>
  <c r="BT19" i="9"/>
  <c r="BU19" i="9"/>
  <c r="BP20" i="9"/>
  <c r="BT20" i="9"/>
  <c r="BU20" i="9"/>
  <c r="BP21" i="9"/>
  <c r="BT21" i="9"/>
  <c r="BU21" i="9"/>
  <c r="BP22" i="9"/>
  <c r="BQ22" i="9"/>
  <c r="BR22" i="9"/>
  <c r="BT22" i="9"/>
  <c r="BU22" i="9"/>
  <c r="BP23" i="9"/>
  <c r="BQ23" i="9"/>
  <c r="BR23" i="9"/>
  <c r="BP24" i="9"/>
  <c r="BQ24" i="9"/>
  <c r="BR24" i="9"/>
  <c r="BP25" i="9"/>
  <c r="BQ25" i="9"/>
  <c r="BR25" i="9"/>
  <c r="BP27" i="9"/>
  <c r="BQ27" i="9"/>
  <c r="BR27" i="9"/>
  <c r="BP28" i="9"/>
  <c r="BQ28" i="9"/>
  <c r="BR28" i="9"/>
  <c r="BP30" i="9"/>
  <c r="BQ30" i="9"/>
  <c r="BR30" i="9"/>
  <c r="BP31" i="9"/>
  <c r="BQ31" i="9"/>
  <c r="BR31" i="9"/>
  <c r="BP32" i="9"/>
  <c r="BQ32" i="9"/>
  <c r="BR32" i="9"/>
  <c r="BP33" i="9"/>
  <c r="BQ33" i="9"/>
  <c r="BR33" i="9"/>
  <c r="BP34" i="9"/>
  <c r="BQ34" i="9"/>
  <c r="BR34" i="9"/>
  <c r="BP35" i="9"/>
  <c r="BT35" i="9"/>
  <c r="BU35" i="9"/>
  <c r="BP36" i="9"/>
  <c r="BT36" i="9"/>
  <c r="BU36" i="9"/>
  <c r="BP37" i="9"/>
  <c r="BT37" i="9"/>
  <c r="BU37" i="9"/>
  <c r="BP38" i="9"/>
  <c r="BT38" i="9"/>
  <c r="BU38" i="9"/>
  <c r="BP39" i="9"/>
  <c r="BT39" i="9"/>
  <c r="BU39" i="9"/>
  <c r="BP40" i="9"/>
  <c r="BT40" i="9"/>
  <c r="BU40" i="9"/>
  <c r="BP41" i="9"/>
  <c r="BT41" i="9"/>
  <c r="BU41" i="9"/>
  <c r="BP42" i="9"/>
  <c r="BT42" i="9"/>
  <c r="BU42" i="9"/>
  <c r="BP43" i="9"/>
  <c r="BT43" i="9"/>
  <c r="BU43" i="9"/>
  <c r="BP44" i="9"/>
  <c r="BT44" i="9"/>
  <c r="BU44" i="9"/>
  <c r="BP45" i="9"/>
  <c r="BT45" i="9"/>
  <c r="BU45" i="9"/>
  <c r="BP46" i="9"/>
  <c r="BT46" i="9"/>
  <c r="BU46" i="9"/>
  <c r="BP47" i="9"/>
  <c r="BT47" i="9"/>
  <c r="BU47" i="9"/>
  <c r="BP14" i="9"/>
  <c r="BQ14" i="9"/>
  <c r="BR14" i="9"/>
  <c r="BT14" i="9"/>
  <c r="BU14" i="9"/>
  <c r="BP15" i="9"/>
  <c r="BQ15" i="9"/>
  <c r="BR15" i="9"/>
  <c r="BT15" i="9"/>
  <c r="BU15" i="9"/>
  <c r="BP16" i="9"/>
  <c r="BQ16" i="9"/>
  <c r="BR16" i="9"/>
  <c r="BT16" i="9"/>
  <c r="BU16" i="9"/>
  <c r="BQ13" i="9"/>
  <c r="BR13" i="9"/>
  <c r="BT13" i="9"/>
  <c r="BU13" i="9"/>
  <c r="BP13" i="9"/>
  <c r="BM42" i="9"/>
  <c r="BN41" i="9"/>
  <c r="BI24" i="9"/>
  <c r="BJ24" i="9"/>
  <c r="BK24" i="9"/>
  <c r="BI25" i="9"/>
  <c r="BJ25" i="9"/>
  <c r="BK25" i="9"/>
  <c r="BI26" i="9"/>
  <c r="BJ26" i="9"/>
  <c r="BK26" i="9"/>
  <c r="BI27" i="9"/>
  <c r="BJ27" i="9"/>
  <c r="BK27" i="9"/>
  <c r="BI28" i="9"/>
  <c r="BJ28" i="9"/>
  <c r="BK28" i="9"/>
  <c r="BI29" i="9"/>
  <c r="BJ29" i="9"/>
  <c r="BK29" i="9"/>
  <c r="BI30" i="9"/>
  <c r="BJ30" i="9"/>
  <c r="BK30" i="9"/>
  <c r="BI31" i="9"/>
  <c r="BJ31" i="9"/>
  <c r="BK31" i="9"/>
  <c r="BI32" i="9"/>
  <c r="BJ32" i="9"/>
  <c r="BK32" i="9"/>
  <c r="BI33" i="9"/>
  <c r="BJ33" i="9"/>
  <c r="BK33" i="9"/>
  <c r="BI34" i="9"/>
  <c r="BJ34" i="9"/>
  <c r="BK34" i="9"/>
  <c r="BI35" i="9"/>
  <c r="BM35" i="9"/>
  <c r="BN35" i="9"/>
  <c r="BI37" i="9"/>
  <c r="BM37" i="9"/>
  <c r="BN37" i="9"/>
  <c r="BI38" i="9"/>
  <c r="BM38" i="9"/>
  <c r="BN38" i="9"/>
  <c r="BI39" i="9"/>
  <c r="BM39" i="9"/>
  <c r="BN39" i="9"/>
  <c r="BI40" i="9"/>
  <c r="BM40" i="9"/>
  <c r="BN40" i="9"/>
  <c r="BI41" i="9"/>
  <c r="BM41" i="9"/>
  <c r="BI42" i="9"/>
  <c r="BN42" i="9"/>
  <c r="BI43" i="9"/>
  <c r="BM43" i="9"/>
  <c r="BN43" i="9"/>
  <c r="BI44" i="9"/>
  <c r="BM44" i="9"/>
  <c r="BN44" i="9"/>
  <c r="BI45" i="9"/>
  <c r="BM45" i="9"/>
  <c r="BN45" i="9"/>
  <c r="BI46" i="9"/>
  <c r="BM46" i="9"/>
  <c r="BN46" i="9"/>
  <c r="BI47" i="9"/>
  <c r="BM47" i="9"/>
  <c r="BN47" i="9"/>
  <c r="BJ14" i="9"/>
  <c r="BK14" i="9"/>
  <c r="BJ13" i="9"/>
  <c r="BK13" i="9"/>
  <c r="BG13" i="9"/>
  <c r="BB17" i="9"/>
  <c r="BF17" i="9"/>
  <c r="BG17" i="9"/>
  <c r="BB18" i="9"/>
  <c r="BF18" i="9"/>
  <c r="BG18" i="9"/>
  <c r="BB21" i="9"/>
  <c r="BF21" i="9"/>
  <c r="BG21" i="9"/>
  <c r="BB22" i="9"/>
  <c r="BF22" i="9"/>
  <c r="BG22" i="9"/>
  <c r="BB35" i="9"/>
  <c r="BF35" i="9"/>
  <c r="BG35" i="9"/>
  <c r="BB36" i="9"/>
  <c r="BF36" i="9"/>
  <c r="BG36" i="9"/>
  <c r="BB37" i="9"/>
  <c r="BF37" i="9"/>
  <c r="BG37" i="9"/>
  <c r="BB38" i="9"/>
  <c r="BF38" i="9"/>
  <c r="BG38" i="9"/>
  <c r="BB39" i="9"/>
  <c r="BF39" i="9"/>
  <c r="BG39" i="9"/>
  <c r="BB40" i="9"/>
  <c r="BF40" i="9"/>
  <c r="BG40" i="9"/>
  <c r="BB41" i="9"/>
  <c r="BF41" i="9"/>
  <c r="BG41" i="9"/>
  <c r="BB42" i="9"/>
  <c r="BF42" i="9"/>
  <c r="BG42" i="9"/>
  <c r="BB43" i="9"/>
  <c r="BF43" i="9"/>
  <c r="BG43" i="9"/>
  <c r="BB44" i="9"/>
  <c r="BF44" i="9"/>
  <c r="BG44" i="9"/>
  <c r="BB45" i="9"/>
  <c r="BF45" i="9"/>
  <c r="BG45" i="9"/>
  <c r="BB46" i="9"/>
  <c r="BF46" i="9"/>
  <c r="BG46" i="9"/>
  <c r="BB47" i="9"/>
  <c r="BF47" i="9"/>
  <c r="BG47" i="9"/>
  <c r="BB14" i="9"/>
  <c r="BF14" i="9"/>
  <c r="BG14" i="9"/>
  <c r="BF13" i="9"/>
  <c r="BB13" i="9"/>
  <c r="AY19" i="9"/>
  <c r="AB35" i="9"/>
  <c r="AC35" i="9"/>
  <c r="AB16" i="9"/>
  <c r="AC16" i="9"/>
  <c r="AB17" i="9"/>
  <c r="AB18" i="9"/>
  <c r="AC18" i="9"/>
  <c r="AB19" i="9"/>
  <c r="AC19" i="9"/>
  <c r="BA19" i="9" s="1"/>
  <c r="AB20" i="9"/>
  <c r="AC20" i="9"/>
  <c r="AB21" i="9"/>
  <c r="AC21" i="9"/>
  <c r="BA21" i="9" s="1"/>
  <c r="AB22" i="9"/>
  <c r="AB23" i="9"/>
  <c r="AC23" i="9"/>
  <c r="AB24" i="9"/>
  <c r="AC24" i="9"/>
  <c r="AB25" i="9"/>
  <c r="AC25" i="9"/>
  <c r="AB26" i="9"/>
  <c r="AC26" i="9"/>
  <c r="AB27" i="9"/>
  <c r="AC27" i="9"/>
  <c r="AB28" i="9"/>
  <c r="AC28" i="9"/>
  <c r="AB29" i="9"/>
  <c r="AC29" i="9"/>
  <c r="AB30" i="9"/>
  <c r="AC30" i="9"/>
  <c r="AB31" i="9"/>
  <c r="AC31" i="9"/>
  <c r="AB32" i="9"/>
  <c r="AC32" i="9"/>
  <c r="AB33" i="9"/>
  <c r="AC33" i="9"/>
  <c r="AB34" i="9"/>
  <c r="AC34" i="9"/>
  <c r="BA35" i="9"/>
  <c r="AB36" i="9"/>
  <c r="AC36" i="9"/>
  <c r="AB37" i="9"/>
  <c r="AC37" i="9"/>
  <c r="BA37" i="9" s="1"/>
  <c r="AB38" i="9"/>
  <c r="AC38" i="9"/>
  <c r="AB39" i="9"/>
  <c r="AC39" i="9"/>
  <c r="BA39" i="9" s="1"/>
  <c r="AB40" i="9"/>
  <c r="AC40" i="9"/>
  <c r="AB41" i="9"/>
  <c r="AC41" i="9"/>
  <c r="BA41" i="9" s="1"/>
  <c r="AB42" i="9"/>
  <c r="AC42" i="9"/>
  <c r="AB43" i="9"/>
  <c r="AC43" i="9"/>
  <c r="BA43" i="9" s="1"/>
  <c r="AB44" i="9"/>
  <c r="AC44" i="9"/>
  <c r="AB45" i="9"/>
  <c r="AC45" i="9"/>
  <c r="BA45" i="9" s="1"/>
  <c r="AB46" i="9"/>
  <c r="AC46" i="9"/>
  <c r="AB47" i="9"/>
  <c r="AC47" i="9"/>
  <c r="BA47" i="9" s="1"/>
  <c r="AC15" i="9"/>
  <c r="AB15" i="9"/>
  <c r="T13" i="9"/>
  <c r="AD18" i="9"/>
  <c r="AZ16" i="9"/>
  <c r="BA16" i="9"/>
  <c r="BA18" i="9"/>
  <c r="BA20" i="9"/>
  <c r="AZ22" i="9"/>
  <c r="AZ23" i="9"/>
  <c r="AZ24" i="9"/>
  <c r="AZ25" i="9"/>
  <c r="AZ26" i="9"/>
  <c r="AZ27" i="9"/>
  <c r="AZ28" i="9"/>
  <c r="AZ29" i="9"/>
  <c r="AZ30" i="9"/>
  <c r="AZ31" i="9"/>
  <c r="AZ32" i="9"/>
  <c r="AZ33" i="9"/>
  <c r="AZ34" i="9"/>
  <c r="BA36" i="9"/>
  <c r="BA38" i="9"/>
  <c r="BA40" i="9"/>
  <c r="BA42" i="9"/>
  <c r="BA44" i="9"/>
  <c r="BA46" i="9"/>
  <c r="AZ15" i="9"/>
  <c r="BA15" i="9"/>
  <c r="L39" i="3"/>
  <c r="AR18" i="9"/>
  <c r="AR19" i="9"/>
  <c r="AV19" i="9"/>
  <c r="AV20" i="9"/>
  <c r="AR20" i="9" s="1"/>
  <c r="AA20" i="9"/>
  <c r="AY20" i="9" s="1"/>
  <c r="X20" i="9"/>
  <c r="T20" i="9" s="1"/>
  <c r="T19" i="9"/>
  <c r="D20" i="9"/>
  <c r="C20" i="9" s="1"/>
  <c r="E20" i="9"/>
  <c r="D19" i="9"/>
  <c r="X19" i="9"/>
  <c r="E19" i="9" s="1"/>
  <c r="AV18" i="9"/>
  <c r="AS18" i="9"/>
  <c r="AO18" i="9"/>
  <c r="AL18" i="9"/>
  <c r="AK18" i="9" s="1"/>
  <c r="AH18" i="9"/>
  <c r="AE18" i="9"/>
  <c r="X18" i="9"/>
  <c r="U18" i="9"/>
  <c r="T18" i="9" s="1"/>
  <c r="Q18" i="9"/>
  <c r="N18" i="9"/>
  <c r="J18" i="9"/>
  <c r="G18" i="9"/>
  <c r="F18" i="9" s="1"/>
  <c r="AV21" i="9"/>
  <c r="AS21" i="9"/>
  <c r="AO21" i="9"/>
  <c r="AL21" i="9"/>
  <c r="AK21" i="9" s="1"/>
  <c r="AH21" i="9"/>
  <c r="AE21" i="9"/>
  <c r="X21" i="9"/>
  <c r="U21" i="9"/>
  <c r="Q21" i="9"/>
  <c r="N21" i="9"/>
  <c r="J21" i="9"/>
  <c r="G21" i="9"/>
  <c r="F21" i="9" s="1"/>
  <c r="AV47" i="9"/>
  <c r="AS47" i="9"/>
  <c r="AO47" i="9"/>
  <c r="AL47" i="9"/>
  <c r="AH47" i="9"/>
  <c r="AE47" i="9"/>
  <c r="X47" i="9"/>
  <c r="U47" i="9"/>
  <c r="Q47" i="9"/>
  <c r="N47" i="9"/>
  <c r="J47" i="9"/>
  <c r="G47" i="9"/>
  <c r="AV46" i="9"/>
  <c r="AS46" i="9"/>
  <c r="AO46" i="9"/>
  <c r="AL46" i="9"/>
  <c r="AK46" i="9" s="1"/>
  <c r="AH46" i="9"/>
  <c r="AE46" i="9"/>
  <c r="X46" i="9"/>
  <c r="U46" i="9"/>
  <c r="Q46" i="9"/>
  <c r="N46" i="9"/>
  <c r="J46" i="9"/>
  <c r="G46" i="9"/>
  <c r="AV45" i="9"/>
  <c r="AS45" i="9"/>
  <c r="AO45" i="9"/>
  <c r="AL45" i="9"/>
  <c r="AK45" i="9" s="1"/>
  <c r="AH45" i="9"/>
  <c r="AE45" i="9"/>
  <c r="X45" i="9"/>
  <c r="U45" i="9"/>
  <c r="Q45" i="9"/>
  <c r="N45" i="9"/>
  <c r="J45" i="9"/>
  <c r="G45" i="9"/>
  <c r="AV44" i="9"/>
  <c r="AS44" i="9"/>
  <c r="AO44" i="9"/>
  <c r="AL44" i="9"/>
  <c r="AK44" i="9" s="1"/>
  <c r="AH44" i="9"/>
  <c r="AE44" i="9"/>
  <c r="X44" i="9"/>
  <c r="U44" i="9"/>
  <c r="Q44" i="9"/>
  <c r="N44" i="9"/>
  <c r="J44" i="9"/>
  <c r="G44" i="9"/>
  <c r="AV43" i="9"/>
  <c r="AS43" i="9"/>
  <c r="AO43" i="9"/>
  <c r="AL43" i="9"/>
  <c r="AH43" i="9"/>
  <c r="AE43" i="9"/>
  <c r="X43" i="9"/>
  <c r="U43" i="9"/>
  <c r="Q43" i="9"/>
  <c r="N43" i="9"/>
  <c r="J43" i="9"/>
  <c r="G43" i="9"/>
  <c r="AV42" i="9"/>
  <c r="AS42" i="9"/>
  <c r="AO42" i="9"/>
  <c r="AL42" i="9"/>
  <c r="AK42" i="9" s="1"/>
  <c r="AH42" i="9"/>
  <c r="AE42" i="9"/>
  <c r="X42" i="9"/>
  <c r="U42" i="9"/>
  <c r="Q42" i="9"/>
  <c r="N42" i="9"/>
  <c r="J42" i="9"/>
  <c r="G42" i="9"/>
  <c r="AV41" i="9"/>
  <c r="AS41" i="9"/>
  <c r="AO41" i="9"/>
  <c r="AL41" i="9"/>
  <c r="AK41" i="9" s="1"/>
  <c r="AH41" i="9"/>
  <c r="AE41" i="9"/>
  <c r="X41" i="9"/>
  <c r="U41" i="9"/>
  <c r="Q41" i="9"/>
  <c r="N41" i="9"/>
  <c r="J41" i="9"/>
  <c r="G41" i="9"/>
  <c r="AV40" i="9"/>
  <c r="AS40" i="9"/>
  <c r="AO40" i="9"/>
  <c r="AL40" i="9"/>
  <c r="AH40" i="9"/>
  <c r="AE40" i="9"/>
  <c r="X40" i="9"/>
  <c r="U40" i="9"/>
  <c r="Q40" i="9"/>
  <c r="N40" i="9"/>
  <c r="J40" i="9"/>
  <c r="G40" i="9"/>
  <c r="AV39" i="9"/>
  <c r="AS39" i="9"/>
  <c r="AO39" i="9"/>
  <c r="AL39" i="9"/>
  <c r="AH39" i="9"/>
  <c r="AE39" i="9"/>
  <c r="X39" i="9"/>
  <c r="U39" i="9"/>
  <c r="Q39" i="9"/>
  <c r="N39" i="9"/>
  <c r="J39" i="9"/>
  <c r="G39" i="9"/>
  <c r="AV38" i="9"/>
  <c r="AS38" i="9"/>
  <c r="AO38" i="9"/>
  <c r="AL38" i="9"/>
  <c r="AH38" i="9"/>
  <c r="AE38" i="9"/>
  <c r="X38" i="9"/>
  <c r="U38" i="9"/>
  <c r="Q38" i="9"/>
  <c r="N38" i="9"/>
  <c r="J38" i="9"/>
  <c r="G38" i="9"/>
  <c r="AV37" i="9"/>
  <c r="AS37" i="9"/>
  <c r="AO37" i="9"/>
  <c r="AL37" i="9"/>
  <c r="AH37" i="9"/>
  <c r="AE37" i="9"/>
  <c r="X37" i="9"/>
  <c r="U37" i="9"/>
  <c r="Q37" i="9"/>
  <c r="N37" i="9"/>
  <c r="J37" i="9"/>
  <c r="G37" i="9"/>
  <c r="AV36" i="9"/>
  <c r="AS36" i="9"/>
  <c r="AO36" i="9"/>
  <c r="AL36" i="9"/>
  <c r="AH36" i="9"/>
  <c r="AE36" i="9"/>
  <c r="X36" i="9"/>
  <c r="U36" i="9"/>
  <c r="Q36" i="9"/>
  <c r="N36" i="9"/>
  <c r="J36" i="9"/>
  <c r="G36" i="9"/>
  <c r="AV17" i="9"/>
  <c r="AR17" i="9" s="1"/>
  <c r="AS17" i="9"/>
  <c r="AO17" i="9"/>
  <c r="AC17" i="9" s="1"/>
  <c r="AL17" i="9"/>
  <c r="AH17" i="9"/>
  <c r="AE17" i="9"/>
  <c r="X17" i="9"/>
  <c r="U17" i="9"/>
  <c r="Q17" i="9"/>
  <c r="N17" i="9"/>
  <c r="J17" i="9"/>
  <c r="G17" i="9"/>
  <c r="AK17" i="9" l="1"/>
  <c r="T45" i="9"/>
  <c r="T36" i="9"/>
  <c r="T37" i="9"/>
  <c r="T41" i="9"/>
  <c r="T42" i="9"/>
  <c r="T43" i="9"/>
  <c r="T44" i="9"/>
  <c r="T38" i="9"/>
  <c r="T40" i="9"/>
  <c r="T47" i="9"/>
  <c r="T46" i="9"/>
  <c r="T39" i="9"/>
  <c r="T17" i="9"/>
  <c r="T21" i="9"/>
  <c r="AA19" i="9"/>
  <c r="AD36" i="9"/>
  <c r="AR36" i="9"/>
  <c r="AD37" i="9"/>
  <c r="AR37" i="9"/>
  <c r="AD38" i="9"/>
  <c r="AR38" i="9"/>
  <c r="AR39" i="9"/>
  <c r="AD40" i="9"/>
  <c r="AR40" i="9"/>
  <c r="AD41" i="9"/>
  <c r="AR41" i="9"/>
  <c r="AD42" i="9"/>
  <c r="AR42" i="9"/>
  <c r="AD43" i="9"/>
  <c r="AA43" i="9" s="1"/>
  <c r="AY43" i="9" s="1"/>
  <c r="AR43" i="9"/>
  <c r="AD44" i="9"/>
  <c r="AR44" i="9"/>
  <c r="AD45" i="9"/>
  <c r="AD46" i="9"/>
  <c r="AR46" i="9"/>
  <c r="AD47" i="9"/>
  <c r="AR47" i="9"/>
  <c r="AR21" i="9"/>
  <c r="C19" i="9"/>
  <c r="M18" i="9"/>
  <c r="AA18" i="9"/>
  <c r="AY18" i="9" s="1"/>
  <c r="AD39" i="9"/>
  <c r="AD21" i="9"/>
  <c r="AA21" i="9" s="1"/>
  <c r="AY21" i="9" s="1"/>
  <c r="AD17" i="9"/>
  <c r="F47" i="9"/>
  <c r="F46" i="9"/>
  <c r="E45" i="9"/>
  <c r="F45" i="9"/>
  <c r="F44" i="9"/>
  <c r="F42" i="9"/>
  <c r="E43" i="9"/>
  <c r="F43" i="9"/>
  <c r="F41" i="9"/>
  <c r="F37" i="9"/>
  <c r="F40" i="9"/>
  <c r="F39" i="9"/>
  <c r="F38" i="9"/>
  <c r="F36" i="9"/>
  <c r="D18" i="9"/>
  <c r="E18" i="9"/>
  <c r="M21" i="9"/>
  <c r="D21" i="9"/>
  <c r="E21" i="9"/>
  <c r="E44" i="9"/>
  <c r="F17" i="9"/>
  <c r="AK47" i="9"/>
  <c r="M47" i="9"/>
  <c r="M46" i="9"/>
  <c r="M45" i="9"/>
  <c r="M44" i="9"/>
  <c r="M42" i="9"/>
  <c r="AK43" i="9"/>
  <c r="M43" i="9"/>
  <c r="M41" i="9"/>
  <c r="AK40" i="9"/>
  <c r="M40" i="9"/>
  <c r="AK39" i="9"/>
  <c r="AR45" i="9"/>
  <c r="E40" i="9"/>
  <c r="E46" i="9"/>
  <c r="AK36" i="9"/>
  <c r="AK37" i="9"/>
  <c r="AK38" i="9"/>
  <c r="AA44" i="9"/>
  <c r="AY44" i="9" s="1"/>
  <c r="AA46" i="9"/>
  <c r="AY46" i="9" s="1"/>
  <c r="AA42" i="9"/>
  <c r="AY42" i="9" s="1"/>
  <c r="AA47" i="9"/>
  <c r="AY47" i="9" s="1"/>
  <c r="M36" i="9"/>
  <c r="M37" i="9"/>
  <c r="M38" i="9"/>
  <c r="M39" i="9"/>
  <c r="E41" i="9"/>
  <c r="E42" i="9"/>
  <c r="E47" i="9"/>
  <c r="D36" i="9"/>
  <c r="D37" i="9"/>
  <c r="D38" i="9"/>
  <c r="D39" i="9"/>
  <c r="D40" i="9"/>
  <c r="C40" i="9" s="1"/>
  <c r="D41" i="9"/>
  <c r="D42" i="9"/>
  <c r="D43" i="9"/>
  <c r="D44" i="9"/>
  <c r="C44" i="9" s="1"/>
  <c r="D45" i="9"/>
  <c r="D46" i="9"/>
  <c r="D47" i="9"/>
  <c r="E36" i="9"/>
  <c r="E37" i="9"/>
  <c r="E38" i="9"/>
  <c r="E39" i="9"/>
  <c r="M17" i="9"/>
  <c r="BI17" i="9" s="1"/>
  <c r="D17" i="9"/>
  <c r="E17" i="9"/>
  <c r="BA17" i="9" s="1"/>
  <c r="C45" i="9" l="1"/>
  <c r="C43" i="9"/>
  <c r="AA36" i="9"/>
  <c r="AY36" i="9" s="1"/>
  <c r="AD35" i="9"/>
  <c r="AA17" i="9"/>
  <c r="C46" i="9"/>
  <c r="C41" i="9"/>
  <c r="C18" i="9"/>
  <c r="AA38" i="9"/>
  <c r="AY38" i="9" s="1"/>
  <c r="AA41" i="9"/>
  <c r="AY41" i="9" s="1"/>
  <c r="AA39" i="9"/>
  <c r="AY39" i="9" s="1"/>
  <c r="C21" i="9"/>
  <c r="AA40" i="9"/>
  <c r="AY40" i="9" s="1"/>
  <c r="C47" i="9"/>
  <c r="AA45" i="9"/>
  <c r="AY45" i="9" s="1"/>
  <c r="AA37" i="9"/>
  <c r="AY37" i="9" s="1"/>
  <c r="C42" i="9"/>
  <c r="C38" i="9"/>
  <c r="C37" i="9"/>
  <c r="C36" i="9"/>
  <c r="C39" i="9"/>
  <c r="C17" i="9"/>
  <c r="AY17" i="9" l="1"/>
  <c r="C35" i="9"/>
  <c r="X15" i="9" l="1"/>
  <c r="U15" i="9"/>
  <c r="Q15" i="9"/>
  <c r="N15" i="9"/>
  <c r="AV32" i="9"/>
  <c r="AS32" i="9"/>
  <c r="AO32" i="9"/>
  <c r="AL32" i="9"/>
  <c r="AH32" i="9"/>
  <c r="AE32" i="9"/>
  <c r="X32" i="9"/>
  <c r="U32" i="9"/>
  <c r="Q32" i="9"/>
  <c r="N32" i="9"/>
  <c r="J32" i="9"/>
  <c r="E32" i="9" s="1"/>
  <c r="G32" i="9"/>
  <c r="AV31" i="9"/>
  <c r="AS31" i="9"/>
  <c r="AO31" i="9"/>
  <c r="AL31" i="9"/>
  <c r="AH31" i="9"/>
  <c r="AE31" i="9"/>
  <c r="AD31" i="9" s="1"/>
  <c r="X31" i="9"/>
  <c r="U31" i="9"/>
  <c r="Q31" i="9"/>
  <c r="N31" i="9"/>
  <c r="J31" i="9"/>
  <c r="G31" i="9"/>
  <c r="AV30" i="9"/>
  <c r="AS30" i="9"/>
  <c r="AO30" i="9"/>
  <c r="AL30" i="9"/>
  <c r="AH30" i="9"/>
  <c r="AE30" i="9"/>
  <c r="X30" i="9"/>
  <c r="U30" i="9"/>
  <c r="Q30" i="9"/>
  <c r="N30" i="9"/>
  <c r="J30" i="9"/>
  <c r="G30" i="9"/>
  <c r="AV22" i="9"/>
  <c r="AS22" i="9"/>
  <c r="AR22" i="9" s="1"/>
  <c r="AO22" i="9"/>
  <c r="AC22" i="9" s="1"/>
  <c r="AL22" i="9"/>
  <c r="AH22" i="9"/>
  <c r="AE22" i="9"/>
  <c r="X22" i="9"/>
  <c r="U22" i="9"/>
  <c r="Q22" i="9"/>
  <c r="N22" i="9"/>
  <c r="J22" i="9"/>
  <c r="G22" i="9"/>
  <c r="T15" i="9" l="1"/>
  <c r="AD22" i="9"/>
  <c r="AK30" i="9"/>
  <c r="AK31" i="9"/>
  <c r="AK32" i="9"/>
  <c r="M15" i="9"/>
  <c r="AD30" i="9"/>
  <c r="E30" i="9"/>
  <c r="M30" i="9"/>
  <c r="AR31" i="9"/>
  <c r="M32" i="9"/>
  <c r="AD32" i="9"/>
  <c r="AR32" i="9"/>
  <c r="M22" i="9"/>
  <c r="T22" i="9"/>
  <c r="AR30" i="9"/>
  <c r="F32" i="9"/>
  <c r="T32" i="9"/>
  <c r="D30" i="9"/>
  <c r="M31" i="9"/>
  <c r="D31" i="9"/>
  <c r="F30" i="9"/>
  <c r="T31" i="9"/>
  <c r="E31" i="9"/>
  <c r="D32" i="9"/>
  <c r="C32" i="9" s="1"/>
  <c r="F22" i="9"/>
  <c r="T30" i="9"/>
  <c r="F31" i="9"/>
  <c r="E22" i="9"/>
  <c r="BA22" i="9" s="1"/>
  <c r="AK22" i="9"/>
  <c r="D22" i="9"/>
  <c r="AA32" i="9" l="1"/>
  <c r="AY32" i="9" s="1"/>
  <c r="C30" i="9"/>
  <c r="AA22" i="9"/>
  <c r="AY22" i="9" s="1"/>
  <c r="AA31" i="9"/>
  <c r="AY31" i="9" s="1"/>
  <c r="AA30" i="9"/>
  <c r="AY30" i="9" s="1"/>
  <c r="C22" i="9"/>
  <c r="C31" i="9"/>
  <c r="AV26" i="9" l="1"/>
  <c r="AS26" i="9"/>
  <c r="AR26" i="9" s="1"/>
  <c r="AO26" i="9"/>
  <c r="AL26" i="9"/>
  <c r="AH26" i="9"/>
  <c r="AE26" i="9"/>
  <c r="AD26" i="9" s="1"/>
  <c r="X26" i="9"/>
  <c r="T26" i="9" s="1"/>
  <c r="U26" i="9"/>
  <c r="Q26" i="9"/>
  <c r="N26" i="9"/>
  <c r="J26" i="9"/>
  <c r="G26" i="9"/>
  <c r="AV25" i="9"/>
  <c r="AS25" i="9"/>
  <c r="AO25" i="9"/>
  <c r="AL25" i="9"/>
  <c r="AH25" i="9"/>
  <c r="AE25" i="9"/>
  <c r="AD25" i="9" s="1"/>
  <c r="X25" i="9"/>
  <c r="U25" i="9"/>
  <c r="Q25" i="9"/>
  <c r="N25" i="9"/>
  <c r="J25" i="9"/>
  <c r="G25" i="9"/>
  <c r="AV24" i="9"/>
  <c r="AS24" i="9"/>
  <c r="AO24" i="9"/>
  <c r="AL24" i="9"/>
  <c r="AH24" i="9"/>
  <c r="AE24" i="9"/>
  <c r="X24" i="9"/>
  <c r="U24" i="9"/>
  <c r="Q24" i="9"/>
  <c r="N24" i="9"/>
  <c r="J24" i="9"/>
  <c r="G24" i="9"/>
  <c r="AV23" i="9"/>
  <c r="AS23" i="9"/>
  <c r="AO23" i="9"/>
  <c r="AL23" i="9"/>
  <c r="AH23" i="9"/>
  <c r="AE23" i="9"/>
  <c r="X23" i="9"/>
  <c r="U23" i="9"/>
  <c r="Q23" i="9"/>
  <c r="N23" i="9"/>
  <c r="J23" i="9"/>
  <c r="G23" i="9"/>
  <c r="AV29" i="9"/>
  <c r="AS29" i="9"/>
  <c r="AO29" i="9"/>
  <c r="AL29" i="9"/>
  <c r="AH29" i="9"/>
  <c r="AE29" i="9"/>
  <c r="X29" i="9"/>
  <c r="U29" i="9"/>
  <c r="Q29" i="9"/>
  <c r="N29" i="9"/>
  <c r="J29" i="9"/>
  <c r="G29" i="9"/>
  <c r="AV28" i="9"/>
  <c r="AS28" i="9"/>
  <c r="AO28" i="9"/>
  <c r="AL28" i="9"/>
  <c r="AH28" i="9"/>
  <c r="AE28" i="9"/>
  <c r="X28" i="9"/>
  <c r="U28" i="9"/>
  <c r="Q28" i="9"/>
  <c r="N28" i="9"/>
  <c r="J28" i="9"/>
  <c r="G28" i="9"/>
  <c r="AV27" i="9"/>
  <c r="AS27" i="9"/>
  <c r="AO27" i="9"/>
  <c r="AL27" i="9"/>
  <c r="AH27" i="9"/>
  <c r="AE27" i="9"/>
  <c r="X27" i="9"/>
  <c r="U27" i="9"/>
  <c r="Q27" i="9"/>
  <c r="N27" i="9"/>
  <c r="J27" i="9"/>
  <c r="G27" i="9"/>
  <c r="AX35" i="9"/>
  <c r="AW35" i="9"/>
  <c r="AU35" i="9"/>
  <c r="AT35" i="9"/>
  <c r="AV34" i="9"/>
  <c r="AS34" i="9"/>
  <c r="AV33" i="9"/>
  <c r="AS33" i="9"/>
  <c r="AV16" i="9"/>
  <c r="AS16" i="9"/>
  <c r="AV15" i="9"/>
  <c r="AS15" i="9"/>
  <c r="AX14" i="9"/>
  <c r="AW14" i="9"/>
  <c r="AU14" i="9"/>
  <c r="AT14" i="9"/>
  <c r="AO33" i="9"/>
  <c r="AL33" i="9"/>
  <c r="AH33" i="9"/>
  <c r="AE33" i="9"/>
  <c r="X33" i="9"/>
  <c r="U33" i="9"/>
  <c r="Q33" i="9"/>
  <c r="N33" i="9"/>
  <c r="J33" i="9"/>
  <c r="G33" i="9"/>
  <c r="AO16" i="9"/>
  <c r="AL16" i="9"/>
  <c r="AH16" i="9"/>
  <c r="AE16" i="9"/>
  <c r="X16" i="9"/>
  <c r="U16" i="9"/>
  <c r="Q16" i="9"/>
  <c r="N16" i="9"/>
  <c r="J16" i="9"/>
  <c r="G16" i="9"/>
  <c r="Z35" i="9"/>
  <c r="Y35" i="9"/>
  <c r="W35" i="9"/>
  <c r="V35" i="9"/>
  <c r="X34" i="9"/>
  <c r="U34" i="9"/>
  <c r="Z14" i="9"/>
  <c r="Y14" i="9"/>
  <c r="W14" i="9"/>
  <c r="V14" i="9"/>
  <c r="Q13" i="8"/>
  <c r="Q14" i="8"/>
  <c r="Q15" i="8"/>
  <c r="Q16" i="8"/>
  <c r="Q17" i="8"/>
  <c r="Q18" i="8"/>
  <c r="Q19" i="8"/>
  <c r="Q20" i="8"/>
  <c r="Q21" i="8"/>
  <c r="Q22" i="8"/>
  <c r="Q23" i="8"/>
  <c r="Q12" i="8"/>
  <c r="K15" i="8"/>
  <c r="M12" i="8"/>
  <c r="D11" i="8"/>
  <c r="D21" i="8"/>
  <c r="D19" i="8"/>
  <c r="D13" i="8"/>
  <c r="D18" i="8"/>
  <c r="D17" i="8"/>
  <c r="D22" i="8"/>
  <c r="D20" i="8"/>
  <c r="D14" i="8"/>
  <c r="D23" i="8"/>
  <c r="D12" i="8"/>
  <c r="D16" i="8"/>
  <c r="D15" i="8"/>
  <c r="AR24" i="9" l="1"/>
  <c r="AR15" i="9"/>
  <c r="F29" i="9"/>
  <c r="T29" i="9"/>
  <c r="T23" i="9"/>
  <c r="AK23" i="9"/>
  <c r="AD28" i="9"/>
  <c r="AA28" i="9" s="1"/>
  <c r="AY28" i="9" s="1"/>
  <c r="AD29" i="9"/>
  <c r="AD24" i="9"/>
  <c r="D33" i="9"/>
  <c r="T24" i="9"/>
  <c r="D27" i="9"/>
  <c r="F24" i="9"/>
  <c r="T25" i="9"/>
  <c r="AK25" i="9"/>
  <c r="F28" i="9"/>
  <c r="AR23" i="9"/>
  <c r="M24" i="9"/>
  <c r="F26" i="9"/>
  <c r="T27" i="9"/>
  <c r="E29" i="9"/>
  <c r="AR29" i="9"/>
  <c r="AA26" i="9"/>
  <c r="AY26" i="9" s="1"/>
  <c r="E25" i="9"/>
  <c r="AA29" i="9"/>
  <c r="AY29" i="9" s="1"/>
  <c r="E23" i="9"/>
  <c r="AK24" i="9"/>
  <c r="AD27" i="9"/>
  <c r="M23" i="9"/>
  <c r="AD23" i="9"/>
  <c r="E28" i="9"/>
  <c r="AR28" i="9"/>
  <c r="AR25" i="9"/>
  <c r="D28" i="9"/>
  <c r="T28" i="9"/>
  <c r="E24" i="9"/>
  <c r="M25" i="9"/>
  <c r="E26" i="9"/>
  <c r="F27" i="9"/>
  <c r="E27" i="9"/>
  <c r="AR27" i="9"/>
  <c r="AK28" i="9"/>
  <c r="M29" i="9"/>
  <c r="AK29" i="9"/>
  <c r="F23" i="9"/>
  <c r="F25" i="9"/>
  <c r="AA25" i="9"/>
  <c r="AY25" i="9" s="1"/>
  <c r="M26" i="9"/>
  <c r="AK26" i="9"/>
  <c r="D23" i="9"/>
  <c r="D26" i="9"/>
  <c r="E16" i="9"/>
  <c r="E33" i="9"/>
  <c r="D29" i="9"/>
  <c r="D24" i="9"/>
  <c r="D25" i="9"/>
  <c r="T33" i="9"/>
  <c r="AK33" i="9"/>
  <c r="M27" i="9"/>
  <c r="AK27" i="9"/>
  <c r="M28" i="9"/>
  <c r="AX13" i="9"/>
  <c r="AS35" i="9"/>
  <c r="D16" i="9"/>
  <c r="C16" i="9" s="1"/>
  <c r="AT13" i="9"/>
  <c r="V13" i="9"/>
  <c r="AU13" i="9"/>
  <c r="AV35" i="9"/>
  <c r="AW13" i="9"/>
  <c r="AR16" i="9"/>
  <c r="AR34" i="9"/>
  <c r="AR33" i="9"/>
  <c r="M16" i="9"/>
  <c r="AV14" i="9"/>
  <c r="W13" i="9"/>
  <c r="AS14" i="9"/>
  <c r="T16" i="9"/>
  <c r="AK16" i="9"/>
  <c r="AD33" i="9"/>
  <c r="Z13" i="9"/>
  <c r="Y13" i="9"/>
  <c r="T34" i="9"/>
  <c r="X35" i="9"/>
  <c r="F33" i="9"/>
  <c r="F16" i="9"/>
  <c r="AD16" i="9"/>
  <c r="AA16" i="9" s="1"/>
  <c r="AY16" i="9" s="1"/>
  <c r="M33" i="9"/>
  <c r="U35" i="9"/>
  <c r="U14" i="9"/>
  <c r="X14" i="9"/>
  <c r="G12" i="7"/>
  <c r="G11" i="7"/>
  <c r="G13" i="7"/>
  <c r="G15" i="7"/>
  <c r="G16" i="7"/>
  <c r="G17" i="7"/>
  <c r="G18" i="7"/>
  <c r="G19" i="7"/>
  <c r="G20" i="7"/>
  <c r="R11" i="7"/>
  <c r="G22" i="7"/>
  <c r="D11" i="7"/>
  <c r="E11" i="7"/>
  <c r="C11" i="4"/>
  <c r="F11" i="4"/>
  <c r="Y13" i="4"/>
  <c r="Y14" i="4"/>
  <c r="Y15" i="4"/>
  <c r="Y16" i="4"/>
  <c r="Y18" i="4"/>
  <c r="Y19" i="4"/>
  <c r="Y20" i="4"/>
  <c r="Y22" i="4"/>
  <c r="Y23" i="4"/>
  <c r="Y24" i="4"/>
  <c r="Y26" i="4"/>
  <c r="Y28" i="4"/>
  <c r="Y29" i="4"/>
  <c r="Y30" i="4"/>
  <c r="Y31" i="4"/>
  <c r="Y32" i="4"/>
  <c r="Y38" i="4"/>
  <c r="Y39" i="4"/>
  <c r="Y51" i="4"/>
  <c r="Y52" i="4"/>
  <c r="Y53" i="4"/>
  <c r="Y54" i="4"/>
  <c r="Y55" i="4"/>
  <c r="Y56" i="4"/>
  <c r="Y57" i="4"/>
  <c r="Y58" i="4"/>
  <c r="Y59" i="4"/>
  <c r="Y60" i="4"/>
  <c r="Y61" i="4"/>
  <c r="Y62" i="4"/>
  <c r="Y63" i="4"/>
  <c r="Y64" i="4"/>
  <c r="Y65" i="4"/>
  <c r="Y66" i="4"/>
  <c r="Y67" i="4"/>
  <c r="Y68" i="4"/>
  <c r="Y69" i="4"/>
  <c r="Y70" i="4"/>
  <c r="Y71" i="4"/>
  <c r="Y72" i="4"/>
  <c r="Y73" i="4"/>
  <c r="Y74" i="4"/>
  <c r="Y75" i="4"/>
  <c r="Y76" i="4"/>
  <c r="Y77" i="4"/>
  <c r="Y78" i="4"/>
  <c r="Y79" i="4"/>
  <c r="Y80" i="4"/>
  <c r="Y81" i="4"/>
  <c r="Y82" i="4"/>
  <c r="Y83" i="4"/>
  <c r="Y84" i="4"/>
  <c r="Y85" i="4"/>
  <c r="Y86" i="4"/>
  <c r="T14" i="4"/>
  <c r="T18" i="4"/>
  <c r="T27" i="4"/>
  <c r="T99" i="4"/>
  <c r="T100" i="4"/>
  <c r="T101" i="4"/>
  <c r="T103" i="4"/>
  <c r="T104" i="4"/>
  <c r="T105" i="4"/>
  <c r="T106" i="4"/>
  <c r="T109" i="4"/>
  <c r="T110"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V13" i="4"/>
  <c r="X13" i="4"/>
  <c r="V14" i="4"/>
  <c r="W14" i="4"/>
  <c r="X14" i="4"/>
  <c r="V15" i="4"/>
  <c r="X15" i="4"/>
  <c r="V20" i="4"/>
  <c r="X20" i="4"/>
  <c r="V21" i="4"/>
  <c r="W21" i="4"/>
  <c r="X21" i="4"/>
  <c r="V26" i="4"/>
  <c r="W26" i="4"/>
  <c r="X26" i="4"/>
  <c r="V30" i="4"/>
  <c r="X30" i="4"/>
  <c r="V52" i="4"/>
  <c r="X52" i="4"/>
  <c r="V99" i="4"/>
  <c r="W99" i="4"/>
  <c r="V100" i="4"/>
  <c r="W100" i="4"/>
  <c r="V101" i="4"/>
  <c r="W101" i="4"/>
  <c r="V102" i="4"/>
  <c r="W102" i="4"/>
  <c r="V103" i="4"/>
  <c r="W103" i="4"/>
  <c r="V104" i="4"/>
  <c r="W104" i="4"/>
  <c r="V105" i="4"/>
  <c r="W105" i="4"/>
  <c r="V106" i="4"/>
  <c r="W106" i="4"/>
  <c r="V107" i="4"/>
  <c r="W107" i="4"/>
  <c r="V108" i="4"/>
  <c r="W108" i="4"/>
  <c r="V109" i="4"/>
  <c r="W109" i="4"/>
  <c r="V11" i="4"/>
  <c r="W11" i="4"/>
  <c r="X11" i="4"/>
  <c r="W10" i="4"/>
  <c r="X10" i="4"/>
  <c r="V10" i="4"/>
  <c r="C29" i="9" l="1"/>
  <c r="C28" i="9"/>
  <c r="C25" i="9"/>
  <c r="AA23" i="9"/>
  <c r="AY23" i="9" s="1"/>
  <c r="C23" i="9"/>
  <c r="AA33" i="9"/>
  <c r="AY33" i="9" s="1"/>
  <c r="C27" i="9"/>
  <c r="AA27" i="9"/>
  <c r="AY27" i="9" s="1"/>
  <c r="AR35" i="9"/>
  <c r="C24" i="9"/>
  <c r="AA24" i="9"/>
  <c r="AY24" i="9" s="1"/>
  <c r="AV13" i="9"/>
  <c r="T35" i="9"/>
  <c r="AS13" i="9"/>
  <c r="C26" i="9"/>
  <c r="C33" i="9"/>
  <c r="AR14" i="9"/>
  <c r="AR13" i="9" s="1"/>
  <c r="T14" i="9"/>
  <c r="X13" i="9"/>
  <c r="U13" i="9"/>
  <c r="R11" i="4" l="1"/>
  <c r="R26" i="4" l="1"/>
  <c r="R21" i="4"/>
  <c r="R13" i="4"/>
  <c r="R14" i="4"/>
  <c r="M31" i="4" l="1"/>
  <c r="E31" i="4"/>
  <c r="M100" i="4"/>
  <c r="M101" i="4"/>
  <c r="M102" i="4"/>
  <c r="M103" i="4"/>
  <c r="M104" i="4"/>
  <c r="M105" i="4"/>
  <c r="M106" i="4"/>
  <c r="M107" i="4"/>
  <c r="M108" i="4"/>
  <c r="M109" i="4"/>
  <c r="M110" i="4"/>
  <c r="M99" i="4"/>
  <c r="U49" i="4"/>
  <c r="K49" i="4"/>
  <c r="G49" i="4"/>
  <c r="C49" i="4" s="1"/>
  <c r="U48" i="4"/>
  <c r="K48" i="4"/>
  <c r="G48" i="4"/>
  <c r="C48" i="4" s="1"/>
  <c r="E14" i="4"/>
  <c r="J13" i="4"/>
  <c r="G102" i="4"/>
  <c r="G103" i="4"/>
  <c r="G104" i="4"/>
  <c r="G105" i="4"/>
  <c r="G106" i="4"/>
  <c r="G107" i="4"/>
  <c r="G108" i="4"/>
  <c r="G109" i="4"/>
  <c r="G110" i="4"/>
  <c r="G12" i="4"/>
  <c r="C12" i="4" s="1"/>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F12" i="13"/>
  <c r="D35" i="13"/>
  <c r="D34" i="13"/>
  <c r="C35" i="13"/>
  <c r="C34" i="13"/>
  <c r="D25" i="13"/>
  <c r="D24" i="13"/>
  <c r="D22" i="13"/>
  <c r="D32" i="13"/>
  <c r="D31" i="13"/>
  <c r="D30" i="13"/>
  <c r="K56" i="3"/>
  <c r="K57" i="3"/>
  <c r="J48" i="3"/>
  <c r="I48" i="3"/>
  <c r="K24" i="3"/>
  <c r="G24" i="3" l="1"/>
  <c r="H22" i="3"/>
  <c r="G22" i="3"/>
  <c r="F53" i="3"/>
  <c r="C53" i="3"/>
  <c r="F52" i="3"/>
  <c r="C52" i="3"/>
  <c r="F54" i="3"/>
  <c r="C54" i="3"/>
  <c r="F51" i="3" l="1"/>
  <c r="F55" i="3"/>
  <c r="D56" i="3"/>
  <c r="E56" i="3"/>
  <c r="G56" i="3"/>
  <c r="H56" i="3"/>
  <c r="F50" i="3" l="1"/>
  <c r="F49" i="3"/>
  <c r="F48" i="3" s="1"/>
  <c r="F58" i="3"/>
  <c r="F57" i="3"/>
  <c r="D48" i="3"/>
  <c r="D47" i="3" s="1"/>
  <c r="E48" i="3"/>
  <c r="E47" i="3" s="1"/>
  <c r="G48" i="3"/>
  <c r="H48" i="3"/>
  <c r="G44" i="3"/>
  <c r="J45" i="3"/>
  <c r="F45" i="3"/>
  <c r="C45" i="3"/>
  <c r="H47" i="3" l="1"/>
  <c r="G47" i="3"/>
  <c r="I45" i="3"/>
  <c r="H24" i="3" l="1"/>
  <c r="F35" i="3"/>
  <c r="F38" i="3"/>
  <c r="F37" i="3"/>
  <c r="F34" i="3"/>
  <c r="F32" i="3"/>
  <c r="F31" i="3"/>
  <c r="D36" i="3"/>
  <c r="E36" i="3"/>
  <c r="G36" i="3"/>
  <c r="H36" i="3"/>
  <c r="C36" i="3"/>
  <c r="D33" i="3"/>
  <c r="E33" i="3"/>
  <c r="G33" i="3"/>
  <c r="H33" i="3"/>
  <c r="C33" i="3"/>
  <c r="D30" i="3"/>
  <c r="E30" i="3"/>
  <c r="G30" i="3"/>
  <c r="H30" i="3"/>
  <c r="C30" i="3"/>
  <c r="D14" i="3"/>
  <c r="D19" i="3"/>
  <c r="C29" i="3" l="1"/>
  <c r="D29" i="3"/>
  <c r="F36" i="3"/>
  <c r="E29" i="3"/>
  <c r="H29" i="3"/>
  <c r="F33" i="3"/>
  <c r="G29" i="3"/>
  <c r="F30" i="3"/>
  <c r="F29" i="3" l="1"/>
  <c r="C24" i="3" l="1"/>
  <c r="E22" i="3"/>
  <c r="D22" i="3"/>
  <c r="E17" i="2"/>
  <c r="E18" i="2"/>
  <c r="E19" i="2"/>
  <c r="F17" i="2"/>
  <c r="F21" i="2"/>
  <c r="G12" i="2" l="1"/>
  <c r="C28" i="2"/>
  <c r="C39" i="2"/>
  <c r="C31" i="2"/>
  <c r="C42" i="2" l="1"/>
  <c r="C24" i="2"/>
  <c r="C14" i="2" s="1"/>
  <c r="C13" i="2" s="1"/>
  <c r="F10" i="13" l="1"/>
  <c r="D13" i="13" l="1"/>
  <c r="D12" i="13" s="1"/>
  <c r="D18" i="13"/>
  <c r="C22" i="13" l="1"/>
  <c r="C27" i="13"/>
  <c r="C13" i="13"/>
  <c r="C29" i="13" l="1"/>
  <c r="E27" i="13"/>
  <c r="E26" i="13"/>
  <c r="E25" i="13"/>
  <c r="E15" i="13"/>
  <c r="E13" i="13"/>
  <c r="C12" i="13"/>
  <c r="D29" i="13" l="1"/>
  <c r="E24" i="13"/>
  <c r="C11" i="13"/>
  <c r="D33" i="13" l="1"/>
  <c r="C33" i="13"/>
  <c r="C28" i="13" s="1"/>
  <c r="C10" i="13" s="1"/>
  <c r="E12" i="13"/>
  <c r="E34" i="13"/>
  <c r="E35" i="13" l="1"/>
  <c r="E33" i="13"/>
  <c r="D11" i="13" l="1"/>
  <c r="E11" i="13" s="1"/>
  <c r="E22" i="13"/>
  <c r="D28" i="13"/>
  <c r="E28" i="13" s="1"/>
  <c r="D10" i="13" l="1"/>
  <c r="E10" i="13" l="1"/>
  <c r="E68" i="12" l="1"/>
  <c r="E67" i="12"/>
  <c r="D18" i="12"/>
  <c r="D17" i="12"/>
  <c r="F48" i="12"/>
  <c r="E48" i="12"/>
  <c r="F46" i="12"/>
  <c r="F40" i="12"/>
  <c r="F39" i="12"/>
  <c r="F37" i="12"/>
  <c r="F38" i="12"/>
  <c r="F36" i="12"/>
  <c r="F33" i="12"/>
  <c r="F31" i="12"/>
  <c r="E31" i="12"/>
  <c r="G22" i="12"/>
  <c r="H22" i="12"/>
  <c r="G20" i="12"/>
  <c r="H21" i="12"/>
  <c r="G21" i="12"/>
  <c r="H24" i="12"/>
  <c r="G24" i="12"/>
  <c r="H23" i="12"/>
  <c r="G23" i="12"/>
  <c r="E44" i="12" l="1"/>
  <c r="F44" i="12"/>
  <c r="D28" i="12"/>
  <c r="D21" i="12"/>
  <c r="C28" i="10"/>
  <c r="C22" i="10"/>
  <c r="D49" i="12"/>
  <c r="C49" i="12"/>
  <c r="D42" i="12"/>
  <c r="D46" i="12"/>
  <c r="D44" i="12"/>
  <c r="C44" i="12"/>
  <c r="D41" i="12"/>
  <c r="D40" i="12"/>
  <c r="D38" i="12"/>
  <c r="D37" i="12"/>
  <c r="D36" i="12"/>
  <c r="D33" i="12"/>
  <c r="D32" i="12"/>
  <c r="D31" i="12"/>
  <c r="D30" i="12"/>
  <c r="D27" i="12"/>
  <c r="D26" i="12"/>
  <c r="C29" i="12"/>
  <c r="C25" i="12" s="1"/>
  <c r="D24" i="12"/>
  <c r="D23" i="12"/>
  <c r="D14" i="12"/>
  <c r="D29" i="10"/>
  <c r="C12" i="10"/>
  <c r="U99" i="4" l="1"/>
  <c r="U100" i="4"/>
  <c r="U101" i="4"/>
  <c r="U102" i="4"/>
  <c r="U103" i="4"/>
  <c r="U104" i="4"/>
  <c r="U105" i="4"/>
  <c r="U106" i="4"/>
  <c r="U107" i="4"/>
  <c r="U108" i="4"/>
  <c r="U109" i="4"/>
  <c r="U110" i="4"/>
  <c r="T13" i="4"/>
  <c r="J16" i="3" l="1"/>
  <c r="J19" i="3"/>
  <c r="K19" i="3"/>
  <c r="J21" i="3"/>
  <c r="J24" i="3"/>
  <c r="J25" i="3"/>
  <c r="J26" i="3"/>
  <c r="K26" i="3"/>
  <c r="J27" i="3"/>
  <c r="K27" i="3"/>
  <c r="J41" i="3"/>
  <c r="J42" i="3"/>
  <c r="J43" i="3"/>
  <c r="J44" i="3"/>
  <c r="J49" i="3"/>
  <c r="J56" i="3"/>
  <c r="J58" i="3"/>
  <c r="H35" i="9" l="1"/>
  <c r="I35" i="9"/>
  <c r="K35" i="9"/>
  <c r="L35" i="9"/>
  <c r="O35" i="9"/>
  <c r="P35" i="9"/>
  <c r="R35" i="9"/>
  <c r="S35" i="9"/>
  <c r="AF35" i="9"/>
  <c r="AG35" i="9"/>
  <c r="AI35" i="9"/>
  <c r="AJ35" i="9"/>
  <c r="AM35" i="9"/>
  <c r="AN35" i="9"/>
  <c r="AP35" i="9"/>
  <c r="AQ35" i="9"/>
  <c r="AH35" i="9" l="1"/>
  <c r="N35" i="9"/>
  <c r="AO35" i="9"/>
  <c r="AL35" i="9"/>
  <c r="J35" i="9"/>
  <c r="G35" i="9"/>
  <c r="AE35" i="9"/>
  <c r="Q35" i="9"/>
  <c r="E35" i="9" l="1"/>
  <c r="M35" i="9"/>
  <c r="F35" i="9"/>
  <c r="D35" i="9"/>
  <c r="AK35" i="9"/>
  <c r="AA35" i="9" l="1"/>
  <c r="AY35" i="9" s="1"/>
  <c r="H14" i="9" l="1"/>
  <c r="I14" i="9"/>
  <c r="K14" i="9"/>
  <c r="L14" i="9"/>
  <c r="O14" i="9"/>
  <c r="P14" i="9"/>
  <c r="R14" i="9"/>
  <c r="S14" i="9"/>
  <c r="AF14" i="9"/>
  <c r="AG14" i="9"/>
  <c r="AI14" i="9"/>
  <c r="AJ14" i="9"/>
  <c r="AM14" i="9"/>
  <c r="AN14" i="9"/>
  <c r="AP14" i="9"/>
  <c r="AQ14" i="9"/>
  <c r="BN14" i="9" l="1"/>
  <c r="K115" i="4"/>
  <c r="N11" i="4"/>
  <c r="N10" i="4" s="1"/>
  <c r="C13" i="4"/>
  <c r="C16" i="4"/>
  <c r="C17" i="4"/>
  <c r="C18" i="4"/>
  <c r="C19" i="4"/>
  <c r="C20" i="4"/>
  <c r="C21" i="4"/>
  <c r="C22" i="4"/>
  <c r="C23" i="4"/>
  <c r="C24" i="4"/>
  <c r="C25" i="4"/>
  <c r="C26" i="4"/>
  <c r="C27" i="4"/>
  <c r="C28" i="4"/>
  <c r="C29" i="4"/>
  <c r="C30" i="4"/>
  <c r="C32" i="4"/>
  <c r="C33" i="4"/>
  <c r="C34" i="4"/>
  <c r="C35" i="4"/>
  <c r="C36" i="4"/>
  <c r="C37" i="4"/>
  <c r="C38" i="4"/>
  <c r="C39" i="4"/>
  <c r="C40" i="4"/>
  <c r="C41" i="4"/>
  <c r="C42" i="4"/>
  <c r="C43" i="4"/>
  <c r="C44" i="4"/>
  <c r="C45" i="4"/>
  <c r="C46" i="4"/>
  <c r="C47"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J124" i="4"/>
  <c r="D11" i="4"/>
  <c r="H11" i="4"/>
  <c r="I11" i="4"/>
  <c r="P11" i="4"/>
  <c r="P10" i="4" s="1"/>
  <c r="Q11" i="4"/>
  <c r="Q10" i="4" s="1"/>
  <c r="E40" i="3"/>
  <c r="G40" i="3"/>
  <c r="C55" i="3" l="1"/>
  <c r="C57" i="3"/>
  <c r="C58" i="3"/>
  <c r="C59" i="3"/>
  <c r="F59" i="3"/>
  <c r="C60" i="3"/>
  <c r="F60" i="3"/>
  <c r="C61" i="3"/>
  <c r="F61" i="3"/>
  <c r="C62" i="3"/>
  <c r="F62" i="3"/>
  <c r="E39" i="3"/>
  <c r="C49" i="3"/>
  <c r="C50" i="3"/>
  <c r="D40" i="3"/>
  <c r="J40" i="3" s="1"/>
  <c r="H40" i="3"/>
  <c r="F42" i="3"/>
  <c r="F43" i="3"/>
  <c r="F44" i="3"/>
  <c r="F46" i="3"/>
  <c r="F41" i="3"/>
  <c r="C42" i="3"/>
  <c r="C43" i="3"/>
  <c r="C44" i="3"/>
  <c r="C46" i="3"/>
  <c r="C41" i="3"/>
  <c r="E46" i="2"/>
  <c r="E45" i="2"/>
  <c r="E30" i="2"/>
  <c r="E28" i="2"/>
  <c r="E24" i="2"/>
  <c r="E25" i="2"/>
  <c r="E20" i="2"/>
  <c r="E21" i="2"/>
  <c r="E15" i="2"/>
  <c r="E47" i="2"/>
  <c r="C56" i="3" l="1"/>
  <c r="C48" i="3"/>
  <c r="F56" i="3"/>
  <c r="I56" i="3" s="1"/>
  <c r="C47" i="3"/>
  <c r="I43" i="3"/>
  <c r="F40" i="3"/>
  <c r="I49" i="3"/>
  <c r="I57" i="3"/>
  <c r="I58" i="3"/>
  <c r="I44" i="3"/>
  <c r="I41" i="3"/>
  <c r="I42" i="3"/>
  <c r="K47" i="3"/>
  <c r="J47" i="3"/>
  <c r="D39" i="3"/>
  <c r="G39" i="3"/>
  <c r="G28" i="3" s="1"/>
  <c r="J22" i="3"/>
  <c r="C40" i="3"/>
  <c r="H39" i="3"/>
  <c r="F47" i="3" l="1"/>
  <c r="F39" i="3" s="1"/>
  <c r="F28" i="3" s="1"/>
  <c r="K39" i="3"/>
  <c r="H28" i="3"/>
  <c r="C39" i="3"/>
  <c r="I40" i="3"/>
  <c r="J39" i="3"/>
  <c r="I47" i="3" l="1"/>
  <c r="I39" i="3"/>
  <c r="F10" i="4"/>
  <c r="C15" i="4" l="1"/>
  <c r="L11" i="4" l="1"/>
  <c r="L10" i="4" s="1"/>
  <c r="K50" i="4"/>
  <c r="U50" i="4"/>
  <c r="M11" i="4"/>
  <c r="M10" i="4" s="1"/>
  <c r="R10" i="4" l="1"/>
  <c r="C14" i="4"/>
  <c r="J11" i="4"/>
  <c r="E11" i="4"/>
  <c r="C31" i="4"/>
  <c r="H31" i="12" l="1"/>
  <c r="G30" i="12"/>
  <c r="E29" i="12"/>
  <c r="D29" i="12"/>
  <c r="D19" i="12"/>
  <c r="F19" i="12"/>
  <c r="C19" i="12"/>
  <c r="F28" i="10"/>
  <c r="G31" i="12" l="1"/>
  <c r="H30" i="12"/>
  <c r="F29" i="12"/>
  <c r="G11" i="4" l="1"/>
  <c r="O25" i="4" l="1"/>
  <c r="E34" i="2" l="1"/>
  <c r="F34" i="2" l="1"/>
  <c r="O111" i="4" l="1"/>
  <c r="K111" i="4" s="1"/>
  <c r="O112" i="4"/>
  <c r="K112" i="4" s="1"/>
  <c r="O113" i="4"/>
  <c r="K113" i="4" s="1"/>
  <c r="O114" i="4"/>
  <c r="K114" i="4" s="1"/>
  <c r="AK7" i="9" l="1"/>
  <c r="U13" i="7" l="1"/>
  <c r="U14" i="7"/>
  <c r="U15" i="7"/>
  <c r="U16" i="7"/>
  <c r="U17" i="7"/>
  <c r="U18" i="7"/>
  <c r="U19" i="7"/>
  <c r="U20" i="7"/>
  <c r="U21" i="7"/>
  <c r="U22" i="7"/>
  <c r="U23" i="7"/>
  <c r="T12" i="7"/>
  <c r="U12" i="7"/>
  <c r="AF13" i="9" l="1"/>
  <c r="AG13" i="9"/>
  <c r="AI13" i="9"/>
  <c r="AJ13" i="9"/>
  <c r="AM13" i="9"/>
  <c r="AN13" i="9"/>
  <c r="AP13" i="9"/>
  <c r="AQ13" i="9"/>
  <c r="AL15" i="9"/>
  <c r="AL34" i="9"/>
  <c r="AO15" i="9"/>
  <c r="AO34" i="9"/>
  <c r="AE15" i="9"/>
  <c r="AE34" i="9"/>
  <c r="AH15" i="9"/>
  <c r="AH34" i="9"/>
  <c r="AL14" i="9" l="1"/>
  <c r="AL13" i="9" s="1"/>
  <c r="AH14" i="9"/>
  <c r="AH13" i="9" s="1"/>
  <c r="AO14" i="9"/>
  <c r="AO13" i="9" s="1"/>
  <c r="AE14" i="9"/>
  <c r="AE13" i="9" s="1"/>
  <c r="AK15" i="9"/>
  <c r="AK34" i="9"/>
  <c r="AD34" i="9"/>
  <c r="AD15" i="9"/>
  <c r="AA34" i="9" l="1"/>
  <c r="AY34" i="9" s="1"/>
  <c r="AA15" i="9"/>
  <c r="AY15" i="9" s="1"/>
  <c r="AK14" i="9"/>
  <c r="AK13" i="9" s="1"/>
  <c r="AC14" i="9"/>
  <c r="AD14" i="9"/>
  <c r="AD13" i="9" s="1"/>
  <c r="AC13" i="9" l="1"/>
  <c r="AB14" i="9"/>
  <c r="AB13" i="9" l="1"/>
  <c r="AZ13" i="9" s="1"/>
  <c r="AZ14" i="9"/>
  <c r="AA14" i="9"/>
  <c r="G15" i="9"/>
  <c r="J15" i="9"/>
  <c r="E15" i="9" s="1"/>
  <c r="G34" i="9"/>
  <c r="J34" i="9"/>
  <c r="N34" i="9"/>
  <c r="Q34" i="9"/>
  <c r="AA13" i="9" l="1"/>
  <c r="E34" i="9"/>
  <c r="D34" i="9"/>
  <c r="D15" i="9"/>
  <c r="J14" i="9"/>
  <c r="N14" i="9"/>
  <c r="G14" i="9"/>
  <c r="Q14" i="9"/>
  <c r="BM14" i="9" s="1"/>
  <c r="P13" i="9"/>
  <c r="L13" i="9"/>
  <c r="S13" i="9"/>
  <c r="K13" i="9"/>
  <c r="M34" i="9"/>
  <c r="R13" i="9"/>
  <c r="BN13" i="9" s="1"/>
  <c r="F34" i="9"/>
  <c r="F15" i="9"/>
  <c r="T18" i="8"/>
  <c r="T19" i="8"/>
  <c r="T21" i="8"/>
  <c r="T22" i="8"/>
  <c r="T20" i="8"/>
  <c r="T13" i="8"/>
  <c r="T17" i="8"/>
  <c r="C34" i="9" l="1"/>
  <c r="D14" i="9"/>
  <c r="M14" i="9"/>
  <c r="BI14" i="9" s="1"/>
  <c r="F14" i="9"/>
  <c r="E14" i="9"/>
  <c r="BA14" i="9" s="1"/>
  <c r="I13" i="9"/>
  <c r="C15" i="9"/>
  <c r="J13" i="9"/>
  <c r="H13" i="9"/>
  <c r="O13" i="9"/>
  <c r="Q13" i="9"/>
  <c r="BM13" i="9" s="1"/>
  <c r="T14" i="8"/>
  <c r="T23" i="8"/>
  <c r="T12" i="8"/>
  <c r="T16" i="8"/>
  <c r="T15" i="8"/>
  <c r="C14" i="9" l="1"/>
  <c r="AY14" i="9" s="1"/>
  <c r="G13" i="9"/>
  <c r="N13" i="9"/>
  <c r="E12" i="8"/>
  <c r="C12" i="8" s="1"/>
  <c r="Y23" i="8"/>
  <c r="Y12" i="8"/>
  <c r="Y18" i="8"/>
  <c r="Y15" i="8"/>
  <c r="G13" i="8"/>
  <c r="E13" i="8" s="1"/>
  <c r="C13" i="8" s="1"/>
  <c r="G14" i="8"/>
  <c r="E14" i="8" s="1"/>
  <c r="C14" i="8" s="1"/>
  <c r="E15" i="8"/>
  <c r="C15" i="8" s="1"/>
  <c r="G17" i="8"/>
  <c r="E17" i="8" s="1"/>
  <c r="C17" i="8" s="1"/>
  <c r="E18" i="8"/>
  <c r="C18" i="8" s="1"/>
  <c r="G19" i="8"/>
  <c r="E19" i="8" s="1"/>
  <c r="C19" i="8" s="1"/>
  <c r="E20" i="8"/>
  <c r="C20" i="8" s="1"/>
  <c r="G21" i="8"/>
  <c r="E21" i="8" s="1"/>
  <c r="C21" i="8" s="1"/>
  <c r="G22" i="8"/>
  <c r="E22" i="8" s="1"/>
  <c r="C22" i="8" s="1"/>
  <c r="E23" i="8"/>
  <c r="C23" i="8" s="1"/>
  <c r="F11" i="8"/>
  <c r="H11" i="8"/>
  <c r="I11" i="8"/>
  <c r="J11" i="8"/>
  <c r="L11" i="8"/>
  <c r="N11" i="8"/>
  <c r="P11" i="8"/>
  <c r="R11" i="8"/>
  <c r="T15" i="7"/>
  <c r="T16" i="7"/>
  <c r="T23" i="7"/>
  <c r="N13" i="7"/>
  <c r="N14" i="7"/>
  <c r="G14" i="7" s="1"/>
  <c r="N15" i="7"/>
  <c r="N16" i="7"/>
  <c r="N17" i="7"/>
  <c r="N18" i="7"/>
  <c r="N19" i="7"/>
  <c r="N20" i="7"/>
  <c r="N21" i="7"/>
  <c r="G21" i="7" s="1"/>
  <c r="N22" i="7"/>
  <c r="N23" i="7"/>
  <c r="N12" i="7"/>
  <c r="T11" i="8" l="1"/>
  <c r="M23" i="8"/>
  <c r="W23" i="8"/>
  <c r="M18" i="8"/>
  <c r="W18" i="8"/>
  <c r="G23" i="7"/>
  <c r="M20" i="8"/>
  <c r="W20" i="8"/>
  <c r="M14" i="8"/>
  <c r="W16" i="8"/>
  <c r="Y16" i="8"/>
  <c r="W12" i="8"/>
  <c r="M19" i="8"/>
  <c r="Q11" i="8"/>
  <c r="Y11" i="8" s="1"/>
  <c r="Y20" i="8"/>
  <c r="F13" i="9"/>
  <c r="E13" i="9"/>
  <c r="BA13" i="9" s="1"/>
  <c r="M13" i="9"/>
  <c r="BI13" i="9" s="1"/>
  <c r="G11" i="8"/>
  <c r="E16" i="8"/>
  <c r="C16" i="8" s="1"/>
  <c r="C11" i="8" s="1"/>
  <c r="C13" i="7"/>
  <c r="C14" i="7"/>
  <c r="C15" i="7"/>
  <c r="C16" i="7"/>
  <c r="C17" i="7"/>
  <c r="C18" i="7"/>
  <c r="C19" i="7"/>
  <c r="C20" i="7"/>
  <c r="C21" i="7"/>
  <c r="C22" i="7"/>
  <c r="C23" i="7"/>
  <c r="C12" i="7"/>
  <c r="F11" i="7"/>
  <c r="K11" i="7"/>
  <c r="H11" i="7"/>
  <c r="I11" i="7"/>
  <c r="J11" i="7"/>
  <c r="L11" i="7"/>
  <c r="M11" i="7"/>
  <c r="N11" i="7"/>
  <c r="O11" i="7"/>
  <c r="P11" i="7"/>
  <c r="Q11" i="7"/>
  <c r="S23" i="7" l="1"/>
  <c r="S22" i="7"/>
  <c r="S19" i="7"/>
  <c r="S18" i="7"/>
  <c r="S16" i="7"/>
  <c r="S12" i="7"/>
  <c r="M16" i="8"/>
  <c r="K16" i="8" s="1"/>
  <c r="S15" i="7"/>
  <c r="O11" i="8"/>
  <c r="W11" i="8" s="1"/>
  <c r="S14" i="7"/>
  <c r="S13" i="7"/>
  <c r="S20" i="7"/>
  <c r="S21" i="7"/>
  <c r="S17" i="7"/>
  <c r="U11" i="7"/>
  <c r="W15" i="8"/>
  <c r="M15" i="8"/>
  <c r="K19" i="8"/>
  <c r="S19" i="8" s="1"/>
  <c r="K20" i="8"/>
  <c r="S20" i="8" s="1"/>
  <c r="U20" i="8"/>
  <c r="M22" i="8"/>
  <c r="K23" i="8"/>
  <c r="S23" i="8" s="1"/>
  <c r="U23" i="8"/>
  <c r="T11" i="7"/>
  <c r="M13" i="8"/>
  <c r="K12" i="8"/>
  <c r="S12" i="8" s="1"/>
  <c r="U12" i="8"/>
  <c r="M21" i="8"/>
  <c r="K14" i="8"/>
  <c r="S14" i="8" s="1"/>
  <c r="M17" i="8"/>
  <c r="K18" i="8"/>
  <c r="S18" i="8" s="1"/>
  <c r="U18" i="8"/>
  <c r="C13" i="9"/>
  <c r="AY13" i="9" s="1"/>
  <c r="D13" i="9"/>
  <c r="E11" i="8"/>
  <c r="C11" i="7"/>
  <c r="U16" i="8" l="1"/>
  <c r="S11" i="7"/>
  <c r="U15" i="8"/>
  <c r="S15" i="8"/>
  <c r="K17" i="8"/>
  <c r="S17" i="8" s="1"/>
  <c r="K21" i="8"/>
  <c r="S21" i="8" s="1"/>
  <c r="K13" i="8"/>
  <c r="S13" i="8" s="1"/>
  <c r="M11" i="8"/>
  <c r="U11" i="8" s="1"/>
  <c r="K22" i="8"/>
  <c r="S22" i="8" s="1"/>
  <c r="S16" i="8"/>
  <c r="U13" i="4"/>
  <c r="U14" i="4"/>
  <c r="U15" i="4"/>
  <c r="U16" i="4"/>
  <c r="U18" i="4"/>
  <c r="U19" i="4"/>
  <c r="U22" i="4"/>
  <c r="U23" i="4"/>
  <c r="U24" i="4"/>
  <c r="U25" i="4"/>
  <c r="U27" i="4"/>
  <c r="U28" i="4"/>
  <c r="U29" i="4"/>
  <c r="U30" i="4"/>
  <c r="U32" i="4"/>
  <c r="U33" i="4"/>
  <c r="U34" i="4"/>
  <c r="U35" i="4"/>
  <c r="U36" i="4"/>
  <c r="U37" i="4"/>
  <c r="U38" i="4"/>
  <c r="U39" i="4"/>
  <c r="U40" i="4"/>
  <c r="U41" i="4"/>
  <c r="U42" i="4"/>
  <c r="U43" i="4"/>
  <c r="U44" i="4"/>
  <c r="U45" i="4"/>
  <c r="U46" i="4"/>
  <c r="U47" i="4"/>
  <c r="U51" i="4"/>
  <c r="U87" i="4"/>
  <c r="U88" i="4"/>
  <c r="U89" i="4"/>
  <c r="U90" i="4"/>
  <c r="U91" i="4"/>
  <c r="U92" i="4"/>
  <c r="U93" i="4"/>
  <c r="U94" i="4"/>
  <c r="U95" i="4"/>
  <c r="U96" i="4"/>
  <c r="U97" i="4"/>
  <c r="U98" i="4"/>
  <c r="U12" i="4"/>
  <c r="Y12" i="4"/>
  <c r="G111" i="4"/>
  <c r="C111" i="4" s="1"/>
  <c r="G112" i="4"/>
  <c r="C112" i="4" s="1"/>
  <c r="G113" i="4"/>
  <c r="C113" i="4" s="1"/>
  <c r="G114" i="4"/>
  <c r="C114" i="4" s="1"/>
  <c r="K25" i="4"/>
  <c r="K11" i="8" l="1"/>
  <c r="S11" i="8" s="1"/>
  <c r="O99" i="4"/>
  <c r="O100" i="4"/>
  <c r="O101" i="4"/>
  <c r="O102" i="4"/>
  <c r="O103" i="4"/>
  <c r="O104" i="4"/>
  <c r="O105" i="4"/>
  <c r="O106" i="4"/>
  <c r="O107" i="4"/>
  <c r="O108" i="4"/>
  <c r="O109" i="4"/>
  <c r="O110" i="4"/>
  <c r="U86" i="4"/>
  <c r="U85" i="4"/>
  <c r="U84" i="4"/>
  <c r="U83" i="4"/>
  <c r="U82" i="4"/>
  <c r="U81" i="4"/>
  <c r="U80" i="4"/>
  <c r="U79" i="4"/>
  <c r="U78" i="4"/>
  <c r="U77" i="4"/>
  <c r="U76" i="4"/>
  <c r="U75" i="4"/>
  <c r="U74" i="4"/>
  <c r="U73" i="4"/>
  <c r="U72" i="4"/>
  <c r="U71" i="4"/>
  <c r="U70" i="4"/>
  <c r="U69" i="4"/>
  <c r="U68" i="4"/>
  <c r="U67" i="4"/>
  <c r="U66" i="4"/>
  <c r="U65" i="4"/>
  <c r="U64" i="4"/>
  <c r="U63" i="4"/>
  <c r="U62" i="4"/>
  <c r="U61" i="4"/>
  <c r="U60" i="4"/>
  <c r="K105" i="4" l="1"/>
  <c r="K101" i="4"/>
  <c r="K100" i="4"/>
  <c r="K107" i="4"/>
  <c r="K99" i="4"/>
  <c r="K108" i="4"/>
  <c r="K104" i="4"/>
  <c r="K110" i="4"/>
  <c r="K106" i="4"/>
  <c r="K109" i="4"/>
  <c r="K103" i="4"/>
  <c r="K102" i="4"/>
  <c r="U59" i="4"/>
  <c r="U58" i="4"/>
  <c r="U57" i="4"/>
  <c r="U56" i="4"/>
  <c r="U55" i="4"/>
  <c r="U54" i="4"/>
  <c r="U53" i="4"/>
  <c r="U52" i="4"/>
  <c r="O22" i="4"/>
  <c r="O23" i="4"/>
  <c r="O24" i="4"/>
  <c r="K24" i="4" s="1"/>
  <c r="O26" i="4"/>
  <c r="O27" i="4"/>
  <c r="K27" i="4" s="1"/>
  <c r="O28" i="4"/>
  <c r="O29" i="4"/>
  <c r="K29" i="4" s="1"/>
  <c r="O30" i="4"/>
  <c r="K30" i="4" s="1"/>
  <c r="O31" i="4"/>
  <c r="O32" i="4"/>
  <c r="K32" i="4" s="1"/>
  <c r="O33" i="4"/>
  <c r="K33" i="4" s="1"/>
  <c r="O34" i="4"/>
  <c r="K34" i="4" s="1"/>
  <c r="O35" i="4"/>
  <c r="O36" i="4"/>
  <c r="K36" i="4" s="1"/>
  <c r="O37" i="4"/>
  <c r="K37" i="4" s="1"/>
  <c r="O38" i="4"/>
  <c r="K38" i="4" s="1"/>
  <c r="O39" i="4"/>
  <c r="O40" i="4"/>
  <c r="K40" i="4" s="1"/>
  <c r="O41" i="4"/>
  <c r="K41" i="4" s="1"/>
  <c r="O42" i="4"/>
  <c r="K42" i="4" s="1"/>
  <c r="O43" i="4"/>
  <c r="O44" i="4"/>
  <c r="K44" i="4" s="1"/>
  <c r="O45" i="4"/>
  <c r="K45" i="4" s="1"/>
  <c r="O46" i="4"/>
  <c r="K46" i="4" s="1"/>
  <c r="O47" i="4"/>
  <c r="K47" i="4" s="1"/>
  <c r="O51" i="4"/>
  <c r="K51" i="4" s="1"/>
  <c r="O52" i="4"/>
  <c r="K52" i="4" s="1"/>
  <c r="O53" i="4"/>
  <c r="K53" i="4" s="1"/>
  <c r="O54" i="4"/>
  <c r="K54" i="4" s="1"/>
  <c r="O55" i="4"/>
  <c r="K55" i="4" s="1"/>
  <c r="O56" i="4"/>
  <c r="K56" i="4" s="1"/>
  <c r="O57" i="4"/>
  <c r="K57" i="4" s="1"/>
  <c r="O58" i="4"/>
  <c r="K58" i="4" s="1"/>
  <c r="O59" i="4"/>
  <c r="K59" i="4" s="1"/>
  <c r="O60" i="4"/>
  <c r="K60" i="4" s="1"/>
  <c r="O61" i="4"/>
  <c r="K61" i="4" s="1"/>
  <c r="O62" i="4"/>
  <c r="K62" i="4" s="1"/>
  <c r="O63" i="4"/>
  <c r="K63" i="4" s="1"/>
  <c r="O64" i="4"/>
  <c r="K64" i="4" s="1"/>
  <c r="O65" i="4"/>
  <c r="K65" i="4" s="1"/>
  <c r="O66" i="4"/>
  <c r="K66" i="4" s="1"/>
  <c r="O67" i="4"/>
  <c r="K67" i="4" s="1"/>
  <c r="O68" i="4"/>
  <c r="K68" i="4" s="1"/>
  <c r="O69" i="4"/>
  <c r="K69" i="4" s="1"/>
  <c r="O70" i="4"/>
  <c r="K70" i="4" s="1"/>
  <c r="O71" i="4"/>
  <c r="K71" i="4" s="1"/>
  <c r="O72" i="4"/>
  <c r="K72" i="4" s="1"/>
  <c r="O73" i="4"/>
  <c r="K73" i="4" s="1"/>
  <c r="O74" i="4"/>
  <c r="K74" i="4" s="1"/>
  <c r="O75" i="4"/>
  <c r="O76" i="4"/>
  <c r="K76" i="4" s="1"/>
  <c r="O77" i="4"/>
  <c r="K77" i="4" s="1"/>
  <c r="O78" i="4"/>
  <c r="K78" i="4" s="1"/>
  <c r="O79" i="4"/>
  <c r="K79" i="4" s="1"/>
  <c r="O80" i="4"/>
  <c r="K80" i="4" s="1"/>
  <c r="O81" i="4"/>
  <c r="K81" i="4" s="1"/>
  <c r="O82" i="4"/>
  <c r="K82" i="4" s="1"/>
  <c r="O83" i="4"/>
  <c r="K83" i="4" s="1"/>
  <c r="O84" i="4"/>
  <c r="K84" i="4" s="1"/>
  <c r="O85" i="4"/>
  <c r="K85" i="4" s="1"/>
  <c r="O86" i="4"/>
  <c r="K86" i="4" s="1"/>
  <c r="O87" i="4"/>
  <c r="K87" i="4" s="1"/>
  <c r="O88" i="4"/>
  <c r="K88" i="4" s="1"/>
  <c r="O89" i="4"/>
  <c r="K89" i="4" s="1"/>
  <c r="O90" i="4"/>
  <c r="K90" i="4" s="1"/>
  <c r="O91" i="4"/>
  <c r="O92" i="4"/>
  <c r="K92" i="4" s="1"/>
  <c r="O93" i="4"/>
  <c r="K93" i="4" s="1"/>
  <c r="O94" i="4"/>
  <c r="K94" i="4" s="1"/>
  <c r="O95" i="4"/>
  <c r="K95" i="4" s="1"/>
  <c r="O96" i="4"/>
  <c r="K96" i="4" s="1"/>
  <c r="O97" i="4"/>
  <c r="K97" i="4" s="1"/>
  <c r="O98" i="4"/>
  <c r="K98" i="4" s="1"/>
  <c r="K75" i="4"/>
  <c r="K91" i="4"/>
  <c r="K39" i="4"/>
  <c r="K35" i="4"/>
  <c r="K43" i="4"/>
  <c r="U26" i="4"/>
  <c r="K28" i="4"/>
  <c r="U20" i="4"/>
  <c r="K23" i="4" l="1"/>
  <c r="K31" i="4"/>
  <c r="U31" i="4"/>
  <c r="K26" i="4"/>
  <c r="U21" i="4"/>
  <c r="K22" i="4"/>
  <c r="U17" i="4"/>
  <c r="O16" i="4"/>
  <c r="K16" i="4" s="1"/>
  <c r="O17" i="4"/>
  <c r="K17" i="4" s="1"/>
  <c r="O18" i="4"/>
  <c r="K18" i="4" s="1"/>
  <c r="O19" i="4"/>
  <c r="K19" i="4" s="1"/>
  <c r="O20" i="4"/>
  <c r="O21" i="4"/>
  <c r="O15" i="4"/>
  <c r="O13" i="4"/>
  <c r="K13" i="4" s="1"/>
  <c r="O14" i="4"/>
  <c r="O12" i="4"/>
  <c r="O11" i="4" l="1"/>
  <c r="O10" i="4" s="1"/>
  <c r="K15" i="4"/>
  <c r="K21" i="4"/>
  <c r="K20" i="4"/>
  <c r="K12" i="4"/>
  <c r="K14" i="4"/>
  <c r="K11" i="4" l="1"/>
  <c r="K10" i="4" s="1"/>
  <c r="S12" i="4"/>
  <c r="G13" i="3"/>
  <c r="G12" i="3" s="1"/>
  <c r="H13" i="3"/>
  <c r="F25" i="3"/>
  <c r="F24" i="3"/>
  <c r="C25" i="3"/>
  <c r="I24" i="3" l="1"/>
  <c r="I25" i="3"/>
  <c r="D10" i="4"/>
  <c r="T10" i="4" s="1"/>
  <c r="T11" i="4"/>
  <c r="H10" i="4"/>
  <c r="I10" i="4"/>
  <c r="E10" i="4"/>
  <c r="U10" i="4" s="1"/>
  <c r="U11" i="4"/>
  <c r="J10" i="4"/>
  <c r="Y11" i="4"/>
  <c r="F14" i="3"/>
  <c r="F13" i="3" s="1"/>
  <c r="Y10" i="4" l="1"/>
  <c r="C10" i="4"/>
  <c r="S10" i="4" s="1"/>
  <c r="G10" i="4"/>
  <c r="C22" i="3"/>
  <c r="D28" i="3" l="1"/>
  <c r="E28" i="3"/>
  <c r="S11" i="4"/>
  <c r="J28" i="3" l="1"/>
  <c r="K28" i="3"/>
  <c r="C28" i="3"/>
  <c r="I28" i="3" l="1"/>
  <c r="F22" i="3"/>
  <c r="K22" i="3"/>
  <c r="H12" i="3"/>
  <c r="H11" i="3" s="1"/>
  <c r="F64" i="3"/>
  <c r="C26" i="3"/>
  <c r="I26" i="3" s="1"/>
  <c r="C27" i="3"/>
  <c r="I27" i="3" s="1"/>
  <c r="I22" i="3" l="1"/>
  <c r="F12" i="3"/>
  <c r="C14" i="3"/>
  <c r="D13" i="3"/>
  <c r="D12" i="3" l="1"/>
  <c r="D11" i="3" s="1"/>
  <c r="E13" i="3"/>
  <c r="C21" i="3"/>
  <c r="I21" i="3" s="1"/>
  <c r="C17" i="3"/>
  <c r="C16" i="3"/>
  <c r="C19" i="3"/>
  <c r="C20" i="3"/>
  <c r="E12" i="3" l="1"/>
  <c r="E11" i="3" s="1"/>
  <c r="C13" i="3"/>
  <c r="C12" i="3" s="1"/>
  <c r="C11" i="3" s="1"/>
  <c r="F20" i="3"/>
  <c r="F19" i="3"/>
  <c r="I19" i="3" s="1"/>
  <c r="F17" i="3"/>
  <c r="F16" i="3"/>
  <c r="I16" i="3" s="1"/>
  <c r="G11" i="3" l="1"/>
  <c r="J11" i="3" s="1"/>
  <c r="I12" i="3"/>
  <c r="J12" i="3"/>
  <c r="K12" i="3"/>
  <c r="I13" i="3"/>
  <c r="J13" i="3"/>
  <c r="K13" i="3"/>
  <c r="I14" i="3"/>
  <c r="J14" i="3"/>
  <c r="K14" i="3"/>
  <c r="K11" i="3"/>
  <c r="D29" i="2"/>
  <c r="E48" i="2"/>
  <c r="F24" i="2"/>
  <c r="F25" i="2"/>
  <c r="F28" i="2"/>
  <c r="F63" i="3" l="1"/>
  <c r="F11" i="3" s="1"/>
  <c r="I11" i="3" l="1"/>
  <c r="E31" i="2"/>
  <c r="F31" i="2"/>
  <c r="F35" i="2"/>
  <c r="E35" i="2"/>
  <c r="F30" i="2"/>
  <c r="F38" i="2"/>
  <c r="E38" i="2"/>
  <c r="D14" i="2" l="1"/>
  <c r="F11" i="2" l="1"/>
  <c r="E11" i="2"/>
  <c r="C29" i="2"/>
  <c r="F40" i="2"/>
  <c r="E40" i="2"/>
  <c r="E39" i="2"/>
  <c r="F39" i="2"/>
  <c r="F36" i="2"/>
  <c r="E36" i="2"/>
  <c r="F37" i="2"/>
  <c r="E37" i="2"/>
  <c r="F33" i="2"/>
  <c r="E33" i="2"/>
  <c r="F42" i="2"/>
  <c r="E42" i="2"/>
  <c r="F41" i="2"/>
  <c r="E41" i="2"/>
  <c r="E14" i="2"/>
  <c r="E13" i="2" s="1"/>
  <c r="F32" i="2"/>
  <c r="E32" i="2"/>
  <c r="D13" i="2"/>
  <c r="D12" i="2" s="1"/>
  <c r="D10" i="2" s="1"/>
  <c r="F29" i="2" l="1"/>
  <c r="C12" i="2"/>
  <c r="E29" i="2"/>
  <c r="E12" i="2" s="1"/>
  <c r="E10" i="2" s="1"/>
  <c r="F14" i="2" l="1"/>
  <c r="F13" i="2"/>
  <c r="C10" i="2" l="1"/>
  <c r="F12" i="2" l="1"/>
  <c r="F10" i="2"/>
  <c r="H56" i="12" l="1"/>
  <c r="G56" i="12"/>
  <c r="G52" i="12"/>
  <c r="G51" i="12"/>
  <c r="G42" i="12"/>
  <c r="H42" i="12"/>
  <c r="G44" i="12"/>
  <c r="H44" i="12"/>
  <c r="H41" i="12"/>
  <c r="G41" i="12"/>
  <c r="H40" i="12"/>
  <c r="G40" i="12"/>
  <c r="G37" i="12"/>
  <c r="G38" i="12"/>
  <c r="G36" i="12"/>
  <c r="H33" i="12"/>
  <c r="G33" i="12"/>
  <c r="H32" i="12"/>
  <c r="G32" i="12"/>
  <c r="G27" i="12"/>
  <c r="H27" i="12"/>
  <c r="G28" i="12"/>
  <c r="H28" i="12"/>
  <c r="G29" i="12"/>
  <c r="H29" i="12"/>
  <c r="H26" i="12"/>
  <c r="G26" i="12"/>
  <c r="H14" i="12"/>
  <c r="G14" i="12"/>
  <c r="H19" i="12"/>
  <c r="H18" i="12"/>
  <c r="G18" i="12"/>
  <c r="G17" i="12"/>
  <c r="H17" i="12"/>
  <c r="H36" i="12"/>
  <c r="C34" i="12"/>
  <c r="F25" i="12" l="1"/>
  <c r="J39" i="12"/>
  <c r="I39" i="12"/>
  <c r="D48" i="12" l="1"/>
  <c r="H48" i="12" s="1"/>
  <c r="H49" i="12"/>
  <c r="F27" i="10" l="1"/>
  <c r="F14" i="10"/>
  <c r="F16" i="10"/>
  <c r="F17" i="10"/>
  <c r="F13" i="10"/>
  <c r="F31" i="10" l="1"/>
  <c r="F23" i="10"/>
  <c r="J65" i="12" l="1"/>
  <c r="I65" i="12"/>
  <c r="A60" i="12"/>
  <c r="A61" i="12" s="1"/>
  <c r="A62" i="12" s="1"/>
  <c r="A63" i="12" s="1"/>
  <c r="A64" i="12" s="1"/>
  <c r="J58" i="12"/>
  <c r="I58" i="12"/>
  <c r="J57" i="12"/>
  <c r="I57" i="12"/>
  <c r="G49" i="12"/>
  <c r="J48" i="12"/>
  <c r="I48" i="12"/>
  <c r="J42" i="12"/>
  <c r="I42" i="12"/>
  <c r="J41" i="12"/>
  <c r="I41" i="12"/>
  <c r="J40" i="12"/>
  <c r="I40" i="12"/>
  <c r="J38" i="12"/>
  <c r="I38" i="12"/>
  <c r="H38" i="12"/>
  <c r="J37" i="12"/>
  <c r="I37" i="12"/>
  <c r="H37" i="12"/>
  <c r="J36" i="12"/>
  <c r="I36" i="12"/>
  <c r="J35" i="12"/>
  <c r="I35" i="12"/>
  <c r="J34" i="12"/>
  <c r="I34" i="12"/>
  <c r="E34" i="12"/>
  <c r="D34" i="12"/>
  <c r="J33" i="12"/>
  <c r="I33" i="12"/>
  <c r="J32" i="12"/>
  <c r="I32" i="12"/>
  <c r="J26" i="12"/>
  <c r="I26" i="12"/>
  <c r="J25" i="12"/>
  <c r="I25" i="12"/>
  <c r="E25" i="12"/>
  <c r="D25" i="12"/>
  <c r="H25" i="12" s="1"/>
  <c r="J22" i="12"/>
  <c r="I22" i="12"/>
  <c r="F22" i="12"/>
  <c r="E22" i="12"/>
  <c r="D22" i="12"/>
  <c r="C22" i="12"/>
  <c r="J17" i="12"/>
  <c r="I17" i="12"/>
  <c r="J16" i="12"/>
  <c r="I16" i="12"/>
  <c r="F16" i="12"/>
  <c r="D16" i="12"/>
  <c r="C16" i="12"/>
  <c r="J14" i="12"/>
  <c r="I14" i="12"/>
  <c r="J13" i="12"/>
  <c r="I13" i="12"/>
  <c r="F13" i="12"/>
  <c r="E13" i="12"/>
  <c r="D13" i="12"/>
  <c r="C13" i="12"/>
  <c r="J12" i="12"/>
  <c r="I12" i="12"/>
  <c r="J11" i="12"/>
  <c r="I11" i="12"/>
  <c r="J10" i="12"/>
  <c r="I10" i="12"/>
  <c r="D9" i="12"/>
  <c r="E9" i="12" s="1"/>
  <c r="F9" i="12" s="1"/>
  <c r="E41" i="10"/>
  <c r="E40" i="10"/>
  <c r="E39" i="10"/>
  <c r="E38" i="10"/>
  <c r="E37" i="10"/>
  <c r="E36" i="10"/>
  <c r="E35" i="10"/>
  <c r="E33" i="10"/>
  <c r="E32" i="10"/>
  <c r="A31" i="10"/>
  <c r="E30" i="10"/>
  <c r="C29" i="10"/>
  <c r="A24" i="10"/>
  <c r="A25" i="10" s="1"/>
  <c r="A26" i="10" s="1"/>
  <c r="A27" i="10" s="1"/>
  <c r="A28" i="10" s="1"/>
  <c r="E23" i="10"/>
  <c r="E20" i="10"/>
  <c r="E19" i="10"/>
  <c r="E18" i="10"/>
  <c r="C15" i="10"/>
  <c r="C11" i="10" s="1"/>
  <c r="A17" i="10"/>
  <c r="E16" i="10"/>
  <c r="D15" i="10"/>
  <c r="E14" i="10"/>
  <c r="E13" i="10"/>
  <c r="D12" i="10"/>
  <c r="D10" i="10"/>
  <c r="D11" i="10" l="1"/>
  <c r="D12" i="12"/>
  <c r="D11" i="12" s="1"/>
  <c r="D10" i="12" s="1"/>
  <c r="G13" i="12"/>
  <c r="F12" i="10"/>
  <c r="F15" i="10"/>
  <c r="H13" i="12"/>
  <c r="H16" i="12"/>
  <c r="G34" i="12"/>
  <c r="G25" i="12"/>
  <c r="C48" i="12"/>
  <c r="C21" i="10"/>
  <c r="E15" i="10"/>
  <c r="E12" i="10"/>
  <c r="E11" i="10" s="1"/>
  <c r="F34" i="12"/>
  <c r="H34" i="12" s="1"/>
  <c r="E17" i="10"/>
  <c r="E31" i="10"/>
  <c r="F12" i="12" l="1"/>
  <c r="H12" i="12" s="1"/>
  <c r="G48" i="12"/>
  <c r="C12" i="12"/>
  <c r="F29" i="10"/>
  <c r="F11" i="10"/>
  <c r="E29" i="10"/>
  <c r="D22" i="10" l="1"/>
  <c r="D21" i="10" s="1"/>
  <c r="D34" i="10" s="1"/>
  <c r="F24" i="10"/>
  <c r="E24" i="10"/>
  <c r="C11" i="12"/>
  <c r="C10" i="12" s="1"/>
  <c r="F11" i="12"/>
  <c r="H11" i="12" s="1"/>
  <c r="F22" i="10" l="1"/>
  <c r="E22" i="10"/>
  <c r="F10" i="12"/>
  <c r="H10" i="12" s="1"/>
  <c r="F21" i="10" l="1"/>
  <c r="E34" i="10"/>
  <c r="E21" i="10"/>
  <c r="E19" i="12" l="1"/>
  <c r="K20" i="12" s="1"/>
  <c r="E16" i="12" l="1"/>
  <c r="G16" i="12" s="1"/>
  <c r="L21" i="12"/>
  <c r="E12" i="12"/>
  <c r="G19" i="12"/>
  <c r="E11" i="12" l="1"/>
  <c r="G12" i="12"/>
  <c r="G11" i="12" l="1"/>
  <c r="E10" i="12"/>
  <c r="G10" i="12" s="1"/>
</calcChain>
</file>

<file path=xl/comments1.xml><?xml version="1.0" encoding="utf-8"?>
<comments xmlns="http://schemas.openxmlformats.org/spreadsheetml/2006/main">
  <authors>
    <author>Author</author>
  </authors>
  <commentList>
    <comment ref="G44" authorId="0" shapeId="0">
      <text>
        <r>
          <rPr>
            <b/>
            <sz val="9"/>
            <color indexed="81"/>
            <rFont val="Tahoma"/>
            <family val="2"/>
          </rPr>
          <t>Author:</t>
        </r>
        <r>
          <rPr>
            <sz val="9"/>
            <color indexed="81"/>
            <rFont val="Tahoma"/>
            <family val="2"/>
          </rPr>
          <t xml:space="preserve">
Vốn ĐTPT hạch toán Chi TX</t>
        </r>
      </text>
    </comment>
    <comment ref="G45" authorId="0" shapeId="0">
      <text>
        <r>
          <rPr>
            <b/>
            <sz val="9"/>
            <color indexed="81"/>
            <rFont val="Tahoma"/>
            <family val="2"/>
          </rPr>
          <t>Author:</t>
        </r>
        <r>
          <rPr>
            <sz val="9"/>
            <color indexed="81"/>
            <rFont val="Tahoma"/>
            <family val="2"/>
          </rPr>
          <t xml:space="preserve">
Vốn ĐTPT hạch toán Chi TX</t>
        </r>
      </text>
    </comment>
  </commentList>
</comments>
</file>

<file path=xl/sharedStrings.xml><?xml version="1.0" encoding="utf-8"?>
<sst xmlns="http://schemas.openxmlformats.org/spreadsheetml/2006/main" count="1245" uniqueCount="556">
  <si>
    <t/>
  </si>
  <si>
    <t>STT</t>
  </si>
  <si>
    <t>Nội dung</t>
  </si>
  <si>
    <t>Dự toán</t>
  </si>
  <si>
    <t>Quyết toán</t>
  </si>
  <si>
    <t>So sánh (%)</t>
  </si>
  <si>
    <t>A</t>
  </si>
  <si>
    <t>CHI CÂN ĐỐI NSĐP</t>
  </si>
  <si>
    <t>I</t>
  </si>
  <si>
    <t>Chi đầu tư phát triển</t>
  </si>
  <si>
    <t>1</t>
  </si>
  <si>
    <t>Chi đầu tư cho các dự án</t>
  </si>
  <si>
    <t>-</t>
  </si>
  <si>
    <t>Chi giáo dục - đào tạo và dạy nghề</t>
  </si>
  <si>
    <t>Chi khoa học và công nghệ</t>
  </si>
  <si>
    <t>Chi đầu tư từ nguồn thu xổ số kiến thiết</t>
  </si>
  <si>
    <t>II</t>
  </si>
  <si>
    <t>Chi thường xuyên</t>
  </si>
  <si>
    <t>2</t>
  </si>
  <si>
    <t>V</t>
  </si>
  <si>
    <t>Dự phòng ngân sách</t>
  </si>
  <si>
    <t>VI</t>
  </si>
  <si>
    <t>Chi tạo nguồn, điều chỉnh tiền lương</t>
  </si>
  <si>
    <t>B</t>
  </si>
  <si>
    <t>CHI CÁC CHƯƠNG TRÌNH MỤC TIÊU</t>
  </si>
  <si>
    <t>Chi các chương trình mục tiêu quốc gia</t>
  </si>
  <si>
    <t xml:space="preserve">Chi các chương trình mục tiêu, nhiệm vụ </t>
  </si>
  <si>
    <t>3</t>
  </si>
  <si>
    <t>4</t>
  </si>
  <si>
    <t>5</t>
  </si>
  <si>
    <t>6</t>
  </si>
  <si>
    <t>7</t>
  </si>
  <si>
    <t>8</t>
  </si>
  <si>
    <t>9</t>
  </si>
  <si>
    <t>10</t>
  </si>
  <si>
    <t>11</t>
  </si>
  <si>
    <t>12</t>
  </si>
  <si>
    <t>13</t>
  </si>
  <si>
    <t>14</t>
  </si>
  <si>
    <t>15</t>
  </si>
  <si>
    <t>16</t>
  </si>
  <si>
    <t>C</t>
  </si>
  <si>
    <t>CHI CHUYỂN NGUỒN SANG NĂM SAU</t>
  </si>
  <si>
    <t>NỘI DUNG</t>
  </si>
  <si>
    <t>TỔNG CHI NSĐP</t>
  </si>
  <si>
    <t>0</t>
  </si>
  <si>
    <t>Chi quốc phòng</t>
  </si>
  <si>
    <t>Chi an ninh và trật tự an toàn xã hội</t>
  </si>
  <si>
    <t>Chi các hoạt động kinh tế</t>
  </si>
  <si>
    <t>Chi đầu tư phát triển khác</t>
  </si>
  <si>
    <t>III</t>
  </si>
  <si>
    <t>IV</t>
  </si>
  <si>
    <t>Biểu mẫu số 53</t>
  </si>
  <si>
    <t>Bao gồm</t>
  </si>
  <si>
    <t>Ngân sách cấp huyện</t>
  </si>
  <si>
    <t>Ngân sách xã</t>
  </si>
  <si>
    <t>Biểu mẫu số 54</t>
  </si>
  <si>
    <t>Tên đơn vị</t>
  </si>
  <si>
    <t>Tổng số</t>
  </si>
  <si>
    <t>Chi chương trình MTQG</t>
  </si>
  <si>
    <t>Chi chuyển nguồn sang ngân sách năm sau</t>
  </si>
  <si>
    <t>17</t>
  </si>
  <si>
    <t>18</t>
  </si>
  <si>
    <t>19</t>
  </si>
  <si>
    <t>20</t>
  </si>
  <si>
    <t>21</t>
  </si>
  <si>
    <t>22</t>
  </si>
  <si>
    <t>23</t>
  </si>
  <si>
    <t>24</t>
  </si>
  <si>
    <t>25</t>
  </si>
  <si>
    <t>26</t>
  </si>
  <si>
    <t>27</t>
  </si>
  <si>
    <t>CÁC CƠ QUAN, TỔ CHỨC</t>
  </si>
  <si>
    <t>Phòng Nông nghiệp và Phát triển nông thôn</t>
  </si>
  <si>
    <t>Phòng Tư pháp</t>
  </si>
  <si>
    <t>Phòng Tài chính - Kế hoạch</t>
  </si>
  <si>
    <t>Phòng Kinh tế và Hạ tầng</t>
  </si>
  <si>
    <t>Phòng Giáo dục và Đào tạo</t>
  </si>
  <si>
    <t>Phòng Y tế</t>
  </si>
  <si>
    <t>Phòng Lao động - Thương binh và Xã hội</t>
  </si>
  <si>
    <t>Phòng Văn hoá và Thông tin</t>
  </si>
  <si>
    <t>Phòng Tài nguyên và Môi trường</t>
  </si>
  <si>
    <t>Phòng Nội vụ</t>
  </si>
  <si>
    <t>Thanh tra huyện</t>
  </si>
  <si>
    <t>Phòng Dân tộc</t>
  </si>
  <si>
    <t>Huyện uỷ</t>
  </si>
  <si>
    <t>Uỷ ban Mặt trận Tổ quốc huyện</t>
  </si>
  <si>
    <t>Hội Liên hiệp Phụ nữ huyện</t>
  </si>
  <si>
    <t>Hội Cựu chiến binh huyện</t>
  </si>
  <si>
    <t>(2) Theo quy định tại Điều 7, Điều 11 Luật NSNN, ngân sách huyện, xã không có nhiệm vụ chi trả lãi vay, chi bổ sung quỹ dự trữ tài chính.</t>
  </si>
  <si>
    <t>(3) Ngân sách xã không có nhiệm vụ chi bổ sung có mục tiêu cho ngân sách cấp dưới.</t>
  </si>
  <si>
    <t>Trong đó</t>
  </si>
  <si>
    <t>Hội Chữ thập đỏ</t>
  </si>
  <si>
    <t>Hội Người cao tuổi</t>
  </si>
  <si>
    <t>Tổng Số</t>
  </si>
  <si>
    <t>Biểu mẫu số 58</t>
  </si>
  <si>
    <t>Quyết toán chi</t>
  </si>
  <si>
    <t>Chi CTMTQG</t>
  </si>
  <si>
    <t>Chi chuyển nguồn sang năm sau</t>
  </si>
  <si>
    <t>Chi giáo dục đào tạo dạy nghề</t>
  </si>
  <si>
    <t>TỔNG SỐ</t>
  </si>
  <si>
    <t>Biểu mẫu số 59</t>
  </si>
  <si>
    <t>So sách (%)</t>
  </si>
  <si>
    <t>Bổ sung cân đối ngân sách</t>
  </si>
  <si>
    <t>Bổ sung có mục tiêu</t>
  </si>
  <si>
    <t>Gồm</t>
  </si>
  <si>
    <t>Vốn đầu tư để thực hiện các CTMT, nhiệm vụ</t>
  </si>
  <si>
    <t>Vốn sự nghiệp thực hiện các chế độ, chính sách</t>
  </si>
  <si>
    <t>Vốn thực hiện các CTMT quốc gia</t>
  </si>
  <si>
    <t>Vốn ngoài nước</t>
  </si>
  <si>
    <t>Vốn trong nước</t>
  </si>
  <si>
    <t>3=4+5</t>
  </si>
  <si>
    <t>11=12+13</t>
  </si>
  <si>
    <t>17=9/1</t>
  </si>
  <si>
    <t>18=10/2</t>
  </si>
  <si>
    <t>19=11/3</t>
  </si>
  <si>
    <t>20=12/4</t>
  </si>
  <si>
    <t>21=13/5</t>
  </si>
  <si>
    <t>22=14/6</t>
  </si>
  <si>
    <t>23=15/7</t>
  </si>
  <si>
    <t>24=16/8</t>
  </si>
  <si>
    <t>Biểu mẫu số 61</t>
  </si>
  <si>
    <t>So sánh</t>
  </si>
  <si>
    <t>Đầu tư phát triển</t>
  </si>
  <si>
    <t>Kinh phí sự nghiệp</t>
  </si>
  <si>
    <t>Chia ra</t>
  </si>
  <si>
    <t>28</t>
  </si>
  <si>
    <t>29</t>
  </si>
  <si>
    <t>30</t>
  </si>
  <si>
    <t>31</t>
  </si>
  <si>
    <t>32</t>
  </si>
  <si>
    <t>33</t>
  </si>
  <si>
    <t>34</t>
  </si>
  <si>
    <t>Biểu mẫu số 48</t>
  </si>
  <si>
    <t>Số TT</t>
  </si>
  <si>
    <t xml:space="preserve">Nội dung </t>
  </si>
  <si>
    <t>Tuyệt đối</t>
  </si>
  <si>
    <t>Tương đối</t>
  </si>
  <si>
    <t>3=2-1</t>
  </si>
  <si>
    <t>4=2/1</t>
  </si>
  <si>
    <t>TỔNG NGUỒN THU NSĐP</t>
  </si>
  <si>
    <t>Thu NSĐP được hưởng theo phân cấp</t>
  </si>
  <si>
    <t>Thu NSĐP hưởng 100%</t>
  </si>
  <si>
    <t>Thu NSĐP hưởng từ các khoản thu phân chia</t>
  </si>
  <si>
    <t>Thu bổ sung từ ngân sách cấp trên</t>
  </si>
  <si>
    <t>Thu bổ sung cân đối ngân sách</t>
  </si>
  <si>
    <t>Thu bổ sung có mục tiêu</t>
  </si>
  <si>
    <t>Thu từ quỹ dự trữ tài chính</t>
  </si>
  <si>
    <t>Thu kết dư</t>
  </si>
  <si>
    <t>Thu chuyển nguồn từ năm trước chuyển sang</t>
  </si>
  <si>
    <t>Tổng chi cân đối NSĐP</t>
  </si>
  <si>
    <t xml:space="preserve">Chi đầu tư phát triển </t>
  </si>
  <si>
    <t xml:space="preserve">Chi trả nợ lãi các khoản do chính quyền địa phương vay </t>
  </si>
  <si>
    <t xml:space="preserve">Chi bổ sung quỹ dự trữ tài chính </t>
  </si>
  <si>
    <t>Chi các chương trình mục tiêu</t>
  </si>
  <si>
    <t>Chi các chương trình mục tiêu, nhiệm vụ</t>
  </si>
  <si>
    <t>Chi nộp ngân sách cấp trên</t>
  </si>
  <si>
    <t>KẾT DƯ NSĐP</t>
  </si>
  <si>
    <t>D</t>
  </si>
  <si>
    <t xml:space="preserve">CHI TRẢ NỢ GỐC CỦA NSĐP </t>
  </si>
  <si>
    <t>Từ nguồn vay để trả nợ gốc</t>
  </si>
  <si>
    <t>Từ nguồn bội thu, tăng thu, tiết kiệm chi, kết dư ngân sách cấp tỉnh</t>
  </si>
  <si>
    <t>E</t>
  </si>
  <si>
    <t xml:space="preserve">TỔNG MỨC VAY CỦA NSĐP </t>
  </si>
  <si>
    <t>Vay để bù đắp bội chi</t>
  </si>
  <si>
    <t>Vay để trả nợ gốc</t>
  </si>
  <si>
    <t>G</t>
  </si>
  <si>
    <t>TỔNG MỨC DƯ NỢ VAY  CUỐI NĂM CỦA NSĐP</t>
  </si>
  <si>
    <r>
      <rPr>
        <i/>
        <sz val="14"/>
        <rFont val="Times New Roman"/>
        <family val="1"/>
      </rPr>
      <t>Ghi chú:</t>
    </r>
    <r>
      <rPr>
        <i/>
        <sz val="12"/>
        <rFont val="Times New Roman"/>
        <family val="1"/>
      </rPr>
      <t>(1) Chi đầu tư phát triển ngân sách cấp tỉnh tăng tương ứng với số bội chi (nếu có); giảm tương ứng với số bội thu và chi trả nợ lãi (nếu có).</t>
    </r>
  </si>
  <si>
    <r>
      <rPr>
        <i/>
        <sz val="14"/>
        <rFont val="Times New Roman"/>
        <family val="1"/>
      </rPr>
      <t xml:space="preserve">      (2)</t>
    </r>
    <r>
      <rPr>
        <i/>
        <sz val="12"/>
        <rFont val="Times New Roman"/>
        <family val="1"/>
      </rPr>
      <t>Theo quy định tại Điều 7, Điều 11 và Điều 39 Luật NSNN, Ngân sách huyện, xã không có nhiệm vụ chi nghiên</t>
    </r>
  </si>
  <si>
    <t xml:space="preserve">        cứu khoa học và công nghệ, trả lãi vay, chi bổ sung quỹ dự trữ tài chính, bội chi NSĐP, vay và trả nợ gốc vay.</t>
  </si>
  <si>
    <t xml:space="preserve">      - Ngân sách xã không có nhiệm vụ chi bổ sung cho ngân sách cấp dưới.</t>
  </si>
  <si>
    <t>Thu viện trợ</t>
  </si>
  <si>
    <t>Biểu mẫu số 50</t>
  </si>
  <si>
    <t>Tổng thu NSNN</t>
  </si>
  <si>
    <t xml:space="preserve">Thu </t>
  </si>
  <si>
    <t>5=3/1</t>
  </si>
  <si>
    <t>6=4/2</t>
  </si>
  <si>
    <t>TỔNG NGUỒN THU NSNN (A+B+C+D)</t>
  </si>
  <si>
    <t>TỔNG THU CÂN ĐỐI NSNN</t>
  </si>
  <si>
    <t>Thu nội địa</t>
  </si>
  <si>
    <t xml:space="preserve">Thu từ khu vực DNNN do trung ương quản lý </t>
  </si>
  <si>
    <t>Thuế giá trị gia tăng</t>
  </si>
  <si>
    <t>Thuế thu nhập doanh nghiệp</t>
  </si>
  <si>
    <t>Thu từ khu vực DNNN do địa phương quản lý</t>
  </si>
  <si>
    <t>Thuế tài nguyên</t>
  </si>
  <si>
    <t xml:space="preserve">Thu từ khu vực doanh nghiệp có vốn đầu tư nước ngoài </t>
  </si>
  <si>
    <t xml:space="preserve">Thu từ khu vực kinh tế ngoài quốc doanh </t>
  </si>
  <si>
    <t>Thuế tiêu thụ đặc biệt hàng nội địa</t>
  </si>
  <si>
    <t>Thuế thu nhập cá nhân</t>
  </si>
  <si>
    <t>Lệ phí trước bạ</t>
  </si>
  <si>
    <t xml:space="preserve">Thu phí, lệ phí </t>
  </si>
  <si>
    <t xml:space="preserve"> Phí và lệ phí trung ương</t>
  </si>
  <si>
    <t xml:space="preserve"> Phí và lệ phí tỉnh</t>
  </si>
  <si>
    <t xml:space="preserve"> Phí và lệ phí huyện</t>
  </si>
  <si>
    <t xml:space="preserve"> Phí và lệ phí xã, phường</t>
  </si>
  <si>
    <t>Thuế sử dụng đất phi nông nghiệp</t>
  </si>
  <si>
    <t>Tiền cho thuê đất, thuê mặt nước</t>
  </si>
  <si>
    <t>Thu tiền sử dụng đất</t>
  </si>
  <si>
    <t>Thu tiền cấp quyền khai thác khoáng sản</t>
  </si>
  <si>
    <t>Thu khác ngân sách</t>
  </si>
  <si>
    <t>Thu tiền phạt</t>
  </si>
  <si>
    <t>Trong đó:</t>
  </si>
  <si>
    <t>+ Phạt VPHC trong lĩnh vực ATGT</t>
  </si>
  <si>
    <t>+ Phạt VPHC do ngành thuế thực hiện</t>
  </si>
  <si>
    <t>Thu tịch thu</t>
  </si>
  <si>
    <t>Thu hồi các khoản chi năm trước</t>
  </si>
  <si>
    <t>Thu tiền cho thuê, bán tài sản khác</t>
  </si>
  <si>
    <t>Thu khác còn lại</t>
  </si>
  <si>
    <t>Thu từ dầu thô</t>
  </si>
  <si>
    <t>Thu từ hoạt động xuất nhập khẩu</t>
  </si>
  <si>
    <t>Thuế xuất khẩu</t>
  </si>
  <si>
    <t>Thuế nhập khẩu</t>
  </si>
  <si>
    <t>Thuế tiêu thụ đặc biệt thu từ hàng hóa nhập khẩu</t>
  </si>
  <si>
    <t>Thuế  bảo vệ môi trường thu từ hàng hóa nhập khẩu</t>
  </si>
  <si>
    <t>Thuế giá trị gia tăng thu từ hàng hóa nhập khẩu</t>
  </si>
  <si>
    <t>Thu khác</t>
  </si>
  <si>
    <t>THU TỪ QUỸ DỰ TRỮ TÀI CHÍNH</t>
  </si>
  <si>
    <t>THU KẾT DƯ NĂM TRƯỚC</t>
  </si>
  <si>
    <t>THU CHUYỂN NGUỒN TỪ NĂM TRƯỚC CHUYỂN SANG</t>
  </si>
  <si>
    <r>
      <rPr>
        <b/>
        <i/>
        <sz val="14"/>
        <rFont val="Times New Roman"/>
        <family val="1"/>
      </rPr>
      <t>Ghi chú</t>
    </r>
    <r>
      <rPr>
        <i/>
        <sz val="14"/>
        <rFont val="Times New Roman"/>
        <family val="1"/>
      </rPr>
      <t>:</t>
    </r>
  </si>
  <si>
    <t xml:space="preserve">(1) Doanh nghiệp nhà nước do trung ương quản lý là doanh nghiệp do bộ, cơ quan ngang bộ, cơ quan thuộc Chính phủ, </t>
  </si>
  <si>
    <t>cơ quan khác ở trung ương đại diện Nhà nước chủ sở hữu 100% vốn điều lệ.</t>
  </si>
  <si>
    <t>(2) Doanh nghiệp nhà nước do địa phương quản lý là doanh nghiệp do Ủy ban nhân dân cấp tỉnh đại diện Nhà nước chủ sở hữu 100% vốn điều lệ.</t>
  </si>
  <si>
    <t xml:space="preserve">(3) Doanh nghiệp có vốn đầu tư nước ngoài là các doanh nghiệp mà phần vốn do tổ chức, cá nhân nước ngoài sở hữu từ 51% vốn điều lệ trở lên </t>
  </si>
  <si>
    <t xml:space="preserve">   hoặc có đa số thành viên hợp danh là cá nhân nước ngoài đối với tổ chức kinh tế là công ty hợp danh.</t>
  </si>
  <si>
    <t>(4) Doanh nghiệp khu vực kinh tế ngoài quốc doanh là các doanh nghiệp thành lập theo Luật doanh nghiệp, Luật các tổ chức tín dụng,</t>
  </si>
  <si>
    <t xml:space="preserve">  trừ các doanh nghiệp nhà nước do trung ương, địa phương quản lý, doanh nghiệp có vốn đầu tư nước ngoài nêu trên.</t>
  </si>
  <si>
    <t>(5) Thu ngân sách nhà nước trên địa bàn, thu ngân sách địa phương cấp huyện, xã không có thu từ cổ tức,</t>
  </si>
  <si>
    <t>lợi nhuận được chia của Nhà nước và lợi nhuận sau thuế còn lại sau khi trích lập các quỹ của doanh nghiệp nhà nước, chênh lệch thu, chi Ngân hàng Nhà nước,</t>
  </si>
  <si>
    <t xml:space="preserve"> thu từ dầu thô, thu từ hoạt động xuất, nhập khẩu. Thu chênh lệch thu, chi Ngân hàng Nhà nước chỉ áp dụng đối với thành phố Hà Nội.</t>
  </si>
  <si>
    <t>Thị trấn Đắk Glei</t>
  </si>
  <si>
    <t>Xã Đắk Plô</t>
  </si>
  <si>
    <t>Xã Đắk Man</t>
  </si>
  <si>
    <t>Xã Đắk Nhoong</t>
  </si>
  <si>
    <t>Xã Đắk Pék</t>
  </si>
  <si>
    <t>Xã Đắk Choong</t>
  </si>
  <si>
    <t>Xã Xốp</t>
  </si>
  <si>
    <t>Xã Mường Hoong</t>
  </si>
  <si>
    <t>Xã Ngọc Linh</t>
  </si>
  <si>
    <t>Xã Đắk Long</t>
  </si>
  <si>
    <t>Xã Đắk Môn</t>
  </si>
  <si>
    <t>Thuế sử dụng đất nông nghiệp</t>
  </si>
  <si>
    <t>Chi bổ sung quỹ dự trữ tài chính</t>
  </si>
  <si>
    <t>Mẫu biểu số 52</t>
  </si>
  <si>
    <t>Chi bổ sung cân đối cho ngân sách cấp dưới</t>
  </si>
  <si>
    <t>Chi ngân sách cấp huyện theo lĩnh vực</t>
  </si>
  <si>
    <t>Chương trình MTQG giảm nghèo bền vững</t>
  </si>
  <si>
    <t>Chương trình MTQG xây dựng nông thôn mới</t>
  </si>
  <si>
    <t>CHI NỘP NGÂN SÁCH CẤP TRÊN</t>
  </si>
  <si>
    <t>Tương đối (%)</t>
  </si>
  <si>
    <t>So sánh QT/DT</t>
  </si>
  <si>
    <t>NSĐP</t>
  </si>
  <si>
    <t>Chi đầu tư từ nguồn thu tiền sử dụng đất</t>
  </si>
  <si>
    <t>Ban QLDA Đầu tư xây dựng huyện</t>
  </si>
  <si>
    <t>Trung tâm Văn hóa - Thể thao - Du lịch và Truyền thông</t>
  </si>
  <si>
    <t>Trung tâm Dịch vụ nông nghiệp</t>
  </si>
  <si>
    <t xml:space="preserve">Hội nạn nhân chất độc dacam/Dioxin </t>
  </si>
  <si>
    <t xml:space="preserve">Hội Cựu thanh niên xung phong </t>
  </si>
  <si>
    <t>Hội khuyến học</t>
  </si>
  <si>
    <t>Ban chỉ huy Quân sự huyện</t>
  </si>
  <si>
    <t>Công an huyện</t>
  </si>
  <si>
    <t>Hạt Kiểm lâm</t>
  </si>
  <si>
    <t>Trung tâm Y tế huyện</t>
  </si>
  <si>
    <t>Trường Phổ thông Dân dộc nội trú huyện</t>
  </si>
  <si>
    <t xml:space="preserve">Trường Trung học Phổ thông Lương Thế Vinh </t>
  </si>
  <si>
    <t>Cấp vốn ủy thác qua Ngân hàng Chính sách xã hội</t>
  </si>
  <si>
    <t>35</t>
  </si>
  <si>
    <t>37</t>
  </si>
  <si>
    <t>38</t>
  </si>
  <si>
    <t>39</t>
  </si>
  <si>
    <t>40</t>
  </si>
  <si>
    <t>41</t>
  </si>
  <si>
    <t>42</t>
  </si>
  <si>
    <t>43</t>
  </si>
  <si>
    <t>44</t>
  </si>
  <si>
    <t>45</t>
  </si>
  <si>
    <t>Trung tâm giáo dục nghề nghiệp - GDTX</t>
  </si>
  <si>
    <t>Trường Mầm non xã Mường Hoong</t>
  </si>
  <si>
    <t>Trường Mầm non xã Xốp</t>
  </si>
  <si>
    <t>Trường Mầm non xã Đăk Choong</t>
  </si>
  <si>
    <t>Trường Mầm non xã Đăk Man</t>
  </si>
  <si>
    <t>Trường Mầm non thị trấn Đăk Glei</t>
  </si>
  <si>
    <t>Trường Mầm non xã Đăk Kroong</t>
  </si>
  <si>
    <t>Trường Mầm non xã Ngọc Linh</t>
  </si>
  <si>
    <t>Trường Mầm non xã Đăk Môn</t>
  </si>
  <si>
    <t>Trường Mầm non xã Đăk Nhoong</t>
  </si>
  <si>
    <t>Trường Mầm non xã Đăk Pék</t>
  </si>
  <si>
    <t>Trường Mầm non xã Đăk Long</t>
  </si>
  <si>
    <t>Trường Tiểu học Kim Đồng</t>
  </si>
  <si>
    <t>Trường Tiểu học xã Mường Hoong</t>
  </si>
  <si>
    <t>Trường Tiểu học xã Ngọc Linh</t>
  </si>
  <si>
    <t>Trường Tiểu học xã Đăk Kroong</t>
  </si>
  <si>
    <t>Trường PTDTBT-TH xã Đăk Choong</t>
  </si>
  <si>
    <t>Trường Tiểu học Võ Thị Sáu</t>
  </si>
  <si>
    <t>Trường Tiểu học xã Đăk Long</t>
  </si>
  <si>
    <t>Trường Tiểu học xã Đăk Môn</t>
  </si>
  <si>
    <t>Trường Tiểu học thị trấn Đăk Glei</t>
  </si>
  <si>
    <t>Trường Tiểu học và THCS Lý Tự Trọng</t>
  </si>
  <si>
    <t>Trường THCS thị trấn Đăk Glei</t>
  </si>
  <si>
    <t>Trường PTDTBT-THCS xã Đăk Choong</t>
  </si>
  <si>
    <t>Trường THCS xã Đăk Kroong</t>
  </si>
  <si>
    <t>Trường THCS xã Đăk Môn</t>
  </si>
  <si>
    <t>Trường PTDTBT-THCS xã Đăk Long</t>
  </si>
  <si>
    <t>Trung tâm HTCĐ thị trấn Đăk Glei</t>
  </si>
  <si>
    <t>Trung tâm HTCĐ xã Đăk Kroong</t>
  </si>
  <si>
    <t>Trung tâm HTCĐ xã Đăk Môn</t>
  </si>
  <si>
    <t>Trung tâm HTCĐ xã Đăk Long</t>
  </si>
  <si>
    <t>Trung tâm HTCĐ xã Đăk Nhoong</t>
  </si>
  <si>
    <t>Trung tâm HTCĐ xã Đăk Man</t>
  </si>
  <si>
    <t>Trung tâm HTCĐ xã Đăk Blô</t>
  </si>
  <si>
    <t>Trung tâm HTCĐ xã Đăk Choong</t>
  </si>
  <si>
    <t>Trung tâm HTCĐ xã Xốp</t>
  </si>
  <si>
    <t>Trung tâm HTCĐ xã Mường Hoong</t>
  </si>
  <si>
    <t>Trung tâm HTCĐ xã Ngọc Linh</t>
  </si>
  <si>
    <t>46</t>
  </si>
  <si>
    <t>47</t>
  </si>
  <si>
    <t>48</t>
  </si>
  <si>
    <t>49</t>
  </si>
  <si>
    <t>50</t>
  </si>
  <si>
    <t>51</t>
  </si>
  <si>
    <t>52</t>
  </si>
  <si>
    <t>53</t>
  </si>
  <si>
    <t>54</t>
  </si>
  <si>
    <t>56</t>
  </si>
  <si>
    <t>57</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</si>
  <si>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</si>
  <si>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</si>
  <si>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</si>
  <si>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</si>
  <si>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</si>
  <si>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</si>
  <si>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</si>
  <si>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</si>
  <si>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</si>
  <si>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</si>
  <si>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</si>
  <si>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</si>
  <si>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</si>
  <si>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</si>
  <si>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</si>
  <si>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</si>
  <si>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</si>
  <si>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</si>
  <si>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</si>
  <si>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</si>
  <si>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</si>
  <si>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</si>
  <si>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</si>
  <si>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</si>
  <si>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</si>
  <si>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</si>
  <si>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</si>
  <si>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</si>
  <si>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</si>
  <si>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</si>
  <si>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</si>
  <si>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</si>
  <si>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Phân hiệu Trường THPT Lương Thế Vinh</t>
  </si>
  <si>
    <t>Trường Mầm non xã Đăk Plô</t>
  </si>
  <si>
    <t>Thị trấn Đăk Glei</t>
  </si>
  <si>
    <t>Xã Đăk Kroong</t>
  </si>
  <si>
    <t>Xã Đăk Môn</t>
  </si>
  <si>
    <t>Xã Đăk Long</t>
  </si>
  <si>
    <t>Xã Đăk Nhoong</t>
  </si>
  <si>
    <t>Xã Đăk Man</t>
  </si>
  <si>
    <t>Xã Đăk Choong</t>
  </si>
  <si>
    <t>91</t>
  </si>
  <si>
    <t>92</t>
  </si>
  <si>
    <t>93</t>
  </si>
  <si>
    <t>94</t>
  </si>
  <si>
    <t>95</t>
  </si>
  <si>
    <t>96</t>
  </si>
  <si>
    <t>97</t>
  </si>
  <si>
    <t>Ban Tiếp công dân</t>
  </si>
  <si>
    <t>DỰ PHÒNG NGÂN SÁCH</t>
  </si>
  <si>
    <t>CHI TẠO NGUỒN, ĐIỀU CHỈNH TIỀN LƯƠNG</t>
  </si>
  <si>
    <t>Xã Đăk Pék</t>
  </si>
  <si>
    <t>Chi chuyển nguồn sang NS năm sau</t>
  </si>
  <si>
    <t>ĐỊA PHƯƠNG</t>
  </si>
  <si>
    <t>Xã Đắk Kroong</t>
  </si>
  <si>
    <t>Dự toán (1)</t>
  </si>
  <si>
    <t>Biểu mẫu số 51</t>
  </si>
  <si>
    <t>Chi CT MTQG</t>
  </si>
  <si>
    <t>1=2+3</t>
  </si>
  <si>
    <t>4=5+6</t>
  </si>
  <si>
    <t>7=4/1</t>
  </si>
  <si>
    <t>8=5/2</t>
  </si>
  <si>
    <t>9=6/3</t>
  </si>
  <si>
    <t>3=2/1</t>
  </si>
  <si>
    <t>Huyện Đoàn Thanh niên CSHCM</t>
  </si>
  <si>
    <t>Văn phòng HĐND và UBND huyện</t>
  </si>
  <si>
    <t>Chuyển nguồn từ năm trước sang</t>
  </si>
  <si>
    <t>Tiền cho thuê và tiền bán nhà thuộc sở hữu nhà nước</t>
  </si>
  <si>
    <t>*</t>
  </si>
  <si>
    <t>Vốn NN</t>
  </si>
  <si>
    <t>Trường THCS xã Đăk Pék</t>
  </si>
  <si>
    <t>Trường Tiểu học-THCS xã Đăk Nhoong</t>
  </si>
  <si>
    <t>Trường Tiểu học-THCS xã Đăk Man</t>
  </si>
  <si>
    <t>Trường Tiểu học-THCS xã Xốp</t>
  </si>
  <si>
    <t>Xã Đăk Plô</t>
  </si>
  <si>
    <t>36</t>
  </si>
  <si>
    <t>55</t>
  </si>
  <si>
    <t>58</t>
  </si>
  <si>
    <t>So sánh (*)</t>
  </si>
  <si>
    <t>Ghi chú: (*) Số quyết toán tăng so với số dự toán giao đầu năm do trong năm được cấp có thẩm quyền giao bổ sung dự toán, nguồn năm trước chuyển sang, nguồn tăng thu NSĐP, nguồn kết dư ngân sách, ....</t>
  </si>
  <si>
    <t>+ Thuê tài nguyên nước</t>
  </si>
  <si>
    <t>+ Thuê tài nguyên khác</t>
  </si>
  <si>
    <t>+ Thuê tài nguyên rừng</t>
  </si>
  <si>
    <t>(*) bao gồm ngân sách cấp huyện và ngân sách cấp xã; Dự toán do Hội đồng nhân dân huyện quyết định</t>
  </si>
  <si>
    <t>Tòa án nhân dân huyện Đăk Glei</t>
  </si>
  <si>
    <t>Trường Tiểu học - THCS xã Đăk Plô</t>
  </si>
  <si>
    <t>Trung tâm HTCĐ xã Đăk Pék</t>
  </si>
  <si>
    <t>Chi Dự phòng, chi bổ sung cho ngân sách xã</t>
  </si>
  <si>
    <t>Ghi chú: (*) Số quyết toán tăng so với số dự toán giao đầu năm do trong năm được cấp có thẩm quyền giao bổ sung dự toán, nguồn năm trước chuyển sang, nguồn tăng thu NSĐP,  ....</t>
  </si>
  <si>
    <t>Trong đó: Chia theo nguồn vốn</t>
  </si>
  <si>
    <t>Trong đó: Chia theo lĩnh vực</t>
  </si>
  <si>
    <t>II.1</t>
  </si>
  <si>
    <t>Mục tiêu, nhiệm vụ vốn đầu tư</t>
  </si>
  <si>
    <t>II.2</t>
  </si>
  <si>
    <t>Mục tiêu, nhiệm vụ vốn sự nghiệp</t>
  </si>
  <si>
    <t>Vốn đầu tư</t>
  </si>
  <si>
    <t>Vốn sự nghiệp</t>
  </si>
  <si>
    <t>Phân cấp hỗ trợ nông thôn mới (ưu tiên giáo dục và đào tạo)</t>
  </si>
  <si>
    <t>Nguồn xổ số kiến thiết</t>
  </si>
  <si>
    <t>Nguồn phân cấp hỗ trợ đầu tư các công trình cấp bách</t>
  </si>
  <si>
    <t>Nguồn tăng thu, tiết kiệm chi ngân sách tỉnh bổ sung</t>
  </si>
  <si>
    <t>Chi đầu tư và hỗ trợ vốn cho các doanh nghiệp cung cấp sản phẩm, dịch vụ công ích do Nhà nước đặt hàng, các tổ chức kinh tế, các tổ chức tài chính của địa phương theo quy định của pháp luật</t>
  </si>
  <si>
    <t>Bổ sung kinh phí thực hiện nhiệm vụ đảm bảo trật tự an toàn giao thông</t>
  </si>
  <si>
    <t>Chi Y tế, dân số và gia đình</t>
  </si>
  <si>
    <t>Chi bổ sung cho ngân sách cấp dưỡi, chi nộp ngân sách cấp trên</t>
  </si>
  <si>
    <t>CHI BỔ SUNG CÓ MỤC TIÊU CHO NGÂN SÁCH CẤP DƯỚI</t>
  </si>
  <si>
    <r>
      <t xml:space="preserve">Thu NSĐP </t>
    </r>
    <r>
      <rPr>
        <b/>
        <vertAlign val="superscript"/>
        <sz val="14"/>
        <rFont val="Times New Roman"/>
        <family val="1"/>
      </rPr>
      <t xml:space="preserve">(*) </t>
    </r>
  </si>
  <si>
    <t>CHI CHUYỂN NGUỒN SANG NGÂN SÁCH NĂM SAU (**)</t>
  </si>
  <si>
    <t>QUYẾT TOÁN CÂN ĐỐI NGÂN SÁCH ĐỊA PHƯƠNG NĂM 2022</t>
  </si>
  <si>
    <t>(Kèm theo Nghị quyết số:         /NQ-HĐND ngày       tháng      năm 2023 của HĐND huyện Đăk Glei)</t>
  </si>
  <si>
    <t>QUYẾT TOÁN NGUỒN THU NGÂN SÁCH NHÀ NƯỚC TRÊN ĐỊA BÀN THEO LĨNH VỰC NĂM 2022</t>
  </si>
  <si>
    <t>(Kèm theo Nghị quyết số:         /NQ-HĐND ngày       tháng      năm 2023 của Hội đồng nhân dân huyện Đăk Glei)</t>
  </si>
  <si>
    <t>Thu tư giấy phép do Trung ương cấp</t>
  </si>
  <si>
    <t>Thu từ giấy phép do Ủy ban nhân dân cấp tỉnh cấp</t>
  </si>
  <si>
    <t>Đơn vị: Triệu đồng</t>
  </si>
  <si>
    <t>Thu từ tài sản được xác lập quyền sở hữu của nhà nước</t>
  </si>
  <si>
    <t>QUYẾT TOÁN CHI NGÂN SÁCH ĐỊA PHƯƠNG THEO LĨNH VỰC NĂM 2022</t>
  </si>
  <si>
    <r>
      <rPr>
        <b/>
        <i/>
        <sz val="14"/>
        <rFont val="Times New Roman"/>
        <family val="1"/>
      </rPr>
      <t>Ghi chú</t>
    </r>
    <r>
      <rPr>
        <i/>
        <sz val="14"/>
        <rFont val="Times New Roman"/>
        <family val="1"/>
      </rPr>
      <t>: (1)</t>
    </r>
    <r>
      <rPr>
        <i/>
        <sz val="12"/>
        <rFont val="Times New Roman"/>
        <family val="1"/>
      </rPr>
      <t>Theo quy định tại Điều 7, Điều 11 và Điều 39 Luật NSNN, ngân sách huyện, xã không có nhiệm vụ chi nghiên cứu khoa học và công nghệ, trả lãi vay, chi bổ sung quỹ dự trữ tài chính, bội chi NSĐP, vay và trả nợ gốc vay.</t>
    </r>
  </si>
  <si>
    <t>(**) Số quyết toán tăng so với số dự toán giao đầu năm do trong năm được cấp có thẩm quyền giao bổ sung dự toán, nguồn năm trước chuyển sang, nguồn tăng thu NSĐP, nguồn kết dư ngân sách, ....</t>
  </si>
  <si>
    <t>(*) Theo dự toán HĐND huyện quyết định đầu năm 2022</t>
  </si>
  <si>
    <t>Ghi chú:</t>
  </si>
  <si>
    <t>Chương trình MTQG phát triển kinh tế - xã hội vùng đồng bào DTTS và miền núi</t>
  </si>
  <si>
    <t>QUYẾT TOÁN CHI NGÂN SÁCH CẤP HUYỆN THEO LĨNH VỰC NĂM 2022</t>
  </si>
  <si>
    <t>Dự toán năm 2022</t>
  </si>
  <si>
    <t>Quyết toán năm 2022</t>
  </si>
  <si>
    <t>Chi Giáo dục - đào tạo và dạy nghề</t>
  </si>
  <si>
    <t>Chi Khoa học và công nghệ</t>
  </si>
  <si>
    <t>Chi Văn hóa thông tin</t>
  </si>
  <si>
    <t>Chi Phát thanh, truyền hình, thông tấn</t>
  </si>
  <si>
    <t>Chi Thể dục thể thao</t>
  </si>
  <si>
    <t>Chi Bảo vệ môi trường</t>
  </si>
  <si>
    <t>Chi hoạt động của các cơ quan quản lý nhà nước, đảng, đoàn thể</t>
  </si>
  <si>
    <t>Chi Bảo đảm xã hội</t>
  </si>
  <si>
    <t>Chi ngành, lĩnh vực khác</t>
  </si>
  <si>
    <t>Chi khác</t>
  </si>
  <si>
    <t xml:space="preserve">Dự toán </t>
  </si>
  <si>
    <t xml:space="preserve">Quyết toán </t>
  </si>
  <si>
    <t>QUYẾT TOÁN CHI NGÂN SÁCH ĐỊA PHƯƠNG, CHI NGÂN SÁCH CẤP HUYỆN VÀ CHI NGÂN SÁCH XÃ THEO CƠ CẤU CHI NĂM 2022</t>
  </si>
  <si>
    <t>Đơn vị : Triệu đồng</t>
  </si>
  <si>
    <t>Chương trình MTQG phát triển kinh tế-xã hội vùng đồng bào DTTS và miền núi</t>
  </si>
  <si>
    <t xml:space="preserve">Nguồn thu tiền sử dụng đất theo dự toán trung ương giao chi thực hiện công tác quy hoạch, đo đạc, đăng ký quản lý đất đai, cấp giấy chứng nhận, xây dựng cơ sở, đăng ký biến động, chỉnh lý hồ sơ địa chính và lập quy hoạch, kế hoạch sử dụng đất </t>
  </si>
  <si>
    <t>Nguồn thu tiền sử dụng đất, tiền thuê đất giao tăng thu so với dự toán trung ương giao để đầu tư cho công tác đo đạc, đăng ký đất đai, cấp Giấy chứng nhận, xây dựng cơ sở dữ liệu đất đai và đăng ký biến động, chỉnh lý hồ sơ địa chính thường xuyên theo Chỉ thị số 1474/CT-TTg ngày 24/8/2011 của Thủ tướng Chính phủ</t>
  </si>
  <si>
    <t>Nguồn ngân sách Trung ương</t>
  </si>
  <si>
    <t>Nguồn ngân sách tỉnh</t>
  </si>
  <si>
    <t>Kinh phí trang bị các bộ cồng chiêng, trống cho các thôn, làng đồng bào dân tộc thiểu số không có cồng chiêng trên địa bàn huyện</t>
  </si>
  <si>
    <t>Kinh phí thực hiện Đề án đầu tư, phát triển và chế biến dược liệu trên địa bàn huyện</t>
  </si>
  <si>
    <t>Kinh phí hỗ trợ hộ nghèo, hộ cận nghèo đón Tết nguyên Đán Nhâm Dần 2021</t>
  </si>
  <si>
    <t xml:space="preserve">KP chi trả phụ cấp hằng tháng cho chức danh Đội trưởng, Đội phó Đội dân phòng năm 2022 theo Nghị quyết số 31/2022/NQ-HĐND ngày 12/7/2022 của HĐND tỉnh </t>
  </si>
  <si>
    <t>Kinh phí tổ chức Đại biểu Hội đồng nhân dân tỉnh tiếp xúc cử tri và Chuyên mục “Diễn đàn cử tri” năm 2022</t>
  </si>
  <si>
    <t>KP hỗ trợ người dân gặp khó khăn do đại dịch Covid-19 năm 2021</t>
  </si>
  <si>
    <t>KP hỗ trợ giống cây trồng và vật nuôi bị thiệt hại do thiên tai gây ra trong năm 2021</t>
  </si>
  <si>
    <t>Hỗ trợ KP khẩn cấp khắc phục hậu quả thiên tai năm 2021</t>
  </si>
  <si>
    <t>KP thực hiện chính sách trợ giúp xã hội đối với đối tượng BTXH năm 2021</t>
  </si>
  <si>
    <t>KP mua thẻ BHYT cho Cựu chiến binh, TNXP, người làm nhiệm vụ quốc tế tại Lào và Campuchia năm 2021</t>
  </si>
  <si>
    <t>Bổ sung và thu hồi kinh phí tạm ứng thực hiện chính sách nâng mức học bổng học sinh dân tộc nội trú và học bổng học sinh 
dân tộc bán trú năm 2009 và năm 2010</t>
  </si>
  <si>
    <t>Kinh phí thực hiện chính sách miễn, giảm học phí và hỗ trợ chi phí học tập theo Nghị định số 81/2021/NĐ-CP của Chính phủnăm 2022</t>
  </si>
  <si>
    <t>QUYẾT TOÁN CHI NGÂN SÁCH CẤP HUYỆN CHO TỪNG CƠ QUAN, TỔ CHỨC THEO LĨNH VỰC NĂM 2022</t>
  </si>
  <si>
    <t>Chi cục Thuế huyện</t>
  </si>
  <si>
    <t>Liên đoàn lao động huyện</t>
  </si>
  <si>
    <t>Trung tâm Chính trị</t>
  </si>
  <si>
    <t>Trường PTDTBT TH-THCS xã Ngọc Linh</t>
  </si>
  <si>
    <t>Trường PTDTBT TH -THCS xã Mường Hoong</t>
  </si>
  <si>
    <t>Hội Nông dân huyện (bao gồm Quỹ hỗ trợ nông dân)</t>
  </si>
  <si>
    <t xml:space="preserve">                 (**) Các nội dung chuyển nguồn tập trung, chuyển nguồn tăng thu và các nguồn khác chưa phân bổ chi tiết.</t>
  </si>
  <si>
    <t>98</t>
  </si>
  <si>
    <t>99</t>
  </si>
  <si>
    <t>QUYẾT TOÁN CHI NGÂN SÁCH ĐỊA PHƯƠNG TỪNG XÃ NĂM 2022</t>
  </si>
  <si>
    <t xml:space="preserve">Tên đơn vị </t>
  </si>
  <si>
    <t>Đơn vị:Triệu đồng</t>
  </si>
  <si>
    <t>QUYẾT TOÁN CHI CHƯƠNG TRÌNH MỤC TIÊU QUỐC GIA NĂM 2022</t>
  </si>
  <si>
    <t>Chương trình MTQG Giảm nghèo bền vững giai đoạn 2021-2025</t>
  </si>
  <si>
    <t>Chương trình MTQG Xây dựng nông thôn mới giai đoạn 2021 - 2025</t>
  </si>
  <si>
    <t>Chương trình MTQG phát triển kinh tế-xã hội vùng đồng bào DTTS và miền núi giai đoạn 2021 - 2025</t>
  </si>
  <si>
    <t>Ban QLDA đầu tư xây dựng</t>
  </si>
  <si>
    <t>UBND thị trấn Đăk Glei</t>
  </si>
  <si>
    <t>UBND xã Đăk Pék</t>
  </si>
  <si>
    <t>UBND xã Đăk Kroong</t>
  </si>
  <si>
    <t>UBND xã Đăk Môn</t>
  </si>
  <si>
    <t>UBND xã Đăk Long</t>
  </si>
  <si>
    <t>UBND xã Đăk Nhoong</t>
  </si>
  <si>
    <t>UBND xã Đăk Man</t>
  </si>
  <si>
    <t>UBND xã Đăk Plô</t>
  </si>
  <si>
    <t>UBND xã Đăk Choong</t>
  </si>
  <si>
    <t>UBND xã Xốp</t>
  </si>
  <si>
    <t>UBND xã Mường Hoong</t>
  </si>
  <si>
    <t>UBND xã Ngọc Linh</t>
  </si>
  <si>
    <t>Trung tâm Giáo dục nghề nghiệp - GDTX</t>
  </si>
  <si>
    <t>Hội Liên hiệp phụ nữ</t>
  </si>
  <si>
    <t>49=25/1</t>
  </si>
  <si>
    <t>50=26/2</t>
  </si>
  <si>
    <t>51=27/3</t>
  </si>
  <si>
    <t>52=28/4</t>
  </si>
  <si>
    <t>53=29/5</t>
  </si>
  <si>
    <t>54=30/6</t>
  </si>
  <si>
    <t>55=31/7</t>
  </si>
  <si>
    <t>56=32/8</t>
  </si>
  <si>
    <t>57=33/9</t>
  </si>
  <si>
    <t>58=34/10</t>
  </si>
  <si>
    <t>59=35/11</t>
  </si>
  <si>
    <t>60=36/12</t>
  </si>
  <si>
    <t>61=37/13</t>
  </si>
  <si>
    <t>62=38/14</t>
  </si>
  <si>
    <t>63=39/15</t>
  </si>
  <si>
    <t>64=40/16</t>
  </si>
  <si>
    <t>65=41/17</t>
  </si>
  <si>
    <t>66=42/18</t>
  </si>
  <si>
    <t>67=43/19</t>
  </si>
  <si>
    <t>68=44/20</t>
  </si>
  <si>
    <t>69=45/21</t>
  </si>
  <si>
    <t>70=46/22</t>
  </si>
  <si>
    <t>71=46/22</t>
  </si>
  <si>
    <t>72=47/23</t>
  </si>
  <si>
    <t>Phòng Văn hóa và thông tin</t>
  </si>
  <si>
    <t>Chương trình MTQG phát triển KT-XH vùng đồng bào DTTS và miền núi giai đoạn 2021 - 2025</t>
  </si>
  <si>
    <t>QUYẾT TOÁN CHI BỔ SUNG TỪ NGÂN SÁCH CẤP HUYỆN CHO NGÂN SÁCH TỪNG XÃ NĂM 2022</t>
  </si>
  <si>
    <r>
      <t xml:space="preserve">Dự toán </t>
    </r>
    <r>
      <rPr>
        <b/>
        <vertAlign val="superscript"/>
        <sz val="13"/>
        <rFont val="Times New Roman"/>
        <family val="1"/>
      </rPr>
      <t>(*)</t>
    </r>
  </si>
  <si>
    <r>
      <t xml:space="preserve">Quyết toán </t>
    </r>
    <r>
      <rPr>
        <b/>
        <vertAlign val="superscript"/>
        <sz val="13"/>
        <rFont val="Times New Roman"/>
        <family val="1"/>
      </rPr>
      <t>(**)</t>
    </r>
  </si>
  <si>
    <t>17=5/1</t>
  </si>
  <si>
    <t>18=6/2</t>
  </si>
  <si>
    <t>19=9/3</t>
  </si>
  <si>
    <t>(Kèm theo Nghị quyết số:          /NQ-HĐND ngày       tháng      năm 2023 của HĐND huyện Đăk Glei)</t>
  </si>
  <si>
    <r>
      <t xml:space="preserve">Dự toán </t>
    </r>
    <r>
      <rPr>
        <b/>
        <vertAlign val="superscript"/>
        <sz val="11"/>
        <color theme="1"/>
        <rFont val="Times New Roman"/>
        <family val="1"/>
      </rPr>
      <t>(*)</t>
    </r>
  </si>
  <si>
    <r>
      <rPr>
        <b/>
        <i/>
        <sz val="11"/>
        <color theme="1"/>
        <rFont val="Times New Roman"/>
        <family val="1"/>
      </rPr>
      <t xml:space="preserve">Ghi chú: </t>
    </r>
    <r>
      <rPr>
        <i/>
        <sz val="11"/>
        <color theme="1"/>
        <rFont val="Times New Roman"/>
        <family val="1"/>
      </rPr>
      <t>(*) Dự toán giao đầu năm, chưa bao gồm chuyển nguồn từ năm 2021 sang và các nhiệm vụ được bổ sung trong năm</t>
    </r>
  </si>
  <si>
    <r>
      <rPr>
        <b/>
        <i/>
        <sz val="11"/>
        <color theme="1"/>
        <rFont val="Times New Roman"/>
        <family val="1"/>
      </rPr>
      <t>Ghi chú:</t>
    </r>
    <r>
      <rPr>
        <i/>
        <sz val="11"/>
        <color theme="1"/>
        <rFont val="Times New Roman"/>
        <family val="1"/>
      </rPr>
      <t xml:space="preserve"> (1) Dự toán giao đầu năm, chưa bao gồm chuyển nguồn từ năm 2021 sang và bổ sung trong năm</t>
    </r>
  </si>
  <si>
    <r>
      <t xml:space="preserve">Dự toán 2022 </t>
    </r>
    <r>
      <rPr>
        <b/>
        <vertAlign val="superscript"/>
        <sz val="10"/>
        <rFont val="Times New Roman"/>
        <family val="1"/>
      </rPr>
      <t>(*)</t>
    </r>
  </si>
  <si>
    <r>
      <t xml:space="preserve">Chi đầu tư phát triển
 </t>
    </r>
    <r>
      <rPr>
        <i/>
        <sz val="10"/>
        <rFont val="Times New Roman"/>
        <family val="1"/>
      </rPr>
      <t>(Không kể chương trình MTQG)</t>
    </r>
  </si>
  <si>
    <r>
      <t>Chi thường xuyên</t>
    </r>
    <r>
      <rPr>
        <i/>
        <sz val="10"/>
        <rFont val="Times New Roman"/>
        <family val="1"/>
      </rPr>
      <t xml:space="preserve"> 
(Không kể chương trình MTQG)</t>
    </r>
  </si>
  <si>
    <r>
      <t xml:space="preserve">Chi đầu tư phát triển 
</t>
    </r>
    <r>
      <rPr>
        <i/>
        <sz val="10"/>
        <rFont val="Times New Roman"/>
        <family val="1"/>
      </rPr>
      <t>(Không kể chương trình MTQG)</t>
    </r>
  </si>
  <si>
    <r>
      <t xml:space="preserve">Chi thường xuyên 
</t>
    </r>
    <r>
      <rPr>
        <i/>
        <sz val="10"/>
        <rFont val="Times New Roman"/>
        <family val="1"/>
      </rPr>
      <t>(Không kể chương trình MTQG)</t>
    </r>
  </si>
  <si>
    <r>
      <rPr>
        <b/>
        <i/>
        <sz val="10"/>
        <rFont val="Times New Roman"/>
        <family val="1"/>
      </rPr>
      <t xml:space="preserve">Ghi chú: </t>
    </r>
    <r>
      <rPr>
        <i/>
        <sz val="10"/>
        <rFont val="Times New Roman"/>
        <family val="1"/>
      </rPr>
      <t>(*) Dự toán bao gồm dự toán giao đầu năm và điều chỉnh, bổ sung trong năm.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</si>
</sst>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_(* \(#,##0.00\);_(* \-??_);_(@_)"/>
    <numFmt numFmtId="165" formatCode="#,##0.0"/>
    <numFmt numFmtId="166" formatCode="#,##0.0_ ;\-#,##0.0\ "/>
    <numFmt numFmtId="167" formatCode="0.0%"/>
  </numFmts>
  <fonts count="58">
    <font>
      <sz val="11"/>
      <color theme="1"/>
      <name val="Calibri"/>
    </font>
    <font>
      <sz val="11"/>
      <color theme="1"/>
      <name val="Calibri"/>
      <family val="2"/>
      <charset val="163"/>
    </font>
    <font>
      <sz val="12"/>
      <name val=".VnTime"/>
      <family val="2"/>
    </font>
    <font>
      <b/>
      <sz val="14"/>
      <name val="Times New Roman"/>
      <family val="1"/>
    </font>
    <font>
      <b/>
      <sz val="12"/>
      <name val="Times New Roman"/>
      <family val="1"/>
    </font>
    <font>
      <sz val="12"/>
      <name val="Times New Roman"/>
      <family val="1"/>
    </font>
    <font>
      <sz val="12"/>
      <name val=".VnTime"/>
      <family val="2"/>
    </font>
    <font>
      <b/>
      <sz val="15"/>
      <name val="Times New Roman"/>
      <family val="1"/>
    </font>
    <font>
      <sz val="14"/>
      <name val="Times New Roman"/>
      <family val="1"/>
    </font>
    <font>
      <i/>
      <sz val="14"/>
      <name val="Times New Roman"/>
      <family val="1"/>
    </font>
    <font>
      <sz val="13"/>
      <name val="Times New Roman"/>
      <family val="1"/>
    </font>
    <font>
      <b/>
      <sz val="11"/>
      <name val="Times New Roman"/>
      <family val="1"/>
    </font>
    <font>
      <b/>
      <sz val="14"/>
      <name val="Times New Romanh"/>
    </font>
    <font>
      <b/>
      <i/>
      <sz val="14"/>
      <name val="Times New Roman"/>
      <family val="1"/>
    </font>
    <font>
      <i/>
      <sz val="12"/>
      <name val="Times New Roman"/>
      <family val="1"/>
    </font>
    <font>
      <b/>
      <u/>
      <sz val="14"/>
      <name val="Times New Roman"/>
      <family val="1"/>
    </font>
    <font>
      <b/>
      <sz val="13"/>
      <name val="Times New Roman"/>
      <family val="1"/>
    </font>
    <font>
      <b/>
      <sz val="14"/>
      <name val="Times New Roman"/>
      <family val="1"/>
      <charset val="163"/>
    </font>
    <font>
      <sz val="10"/>
      <name val="Arial"/>
      <family val="2"/>
    </font>
    <font>
      <i/>
      <sz val="14"/>
      <name val="Times New Roman"/>
      <family val="1"/>
      <charset val="163"/>
    </font>
    <font>
      <sz val="11"/>
      <color theme="1"/>
      <name val="times new roman"/>
      <family val="2"/>
      <charset val="163"/>
    </font>
    <font>
      <u/>
      <sz val="14"/>
      <name val="Times New Roman"/>
      <family val="1"/>
      <charset val="163"/>
    </font>
    <font>
      <b/>
      <sz val="16"/>
      <name val="Times New Roman"/>
      <family val="1"/>
    </font>
    <font>
      <sz val="8"/>
      <name val="Calibri"/>
      <family val="2"/>
      <charset val="163"/>
    </font>
    <font>
      <i/>
      <sz val="13"/>
      <name val="Times New Roman"/>
      <family val="1"/>
      <charset val="163"/>
    </font>
    <font>
      <u/>
      <sz val="13"/>
      <name val="Times New Roman"/>
      <family val="1"/>
    </font>
    <font>
      <sz val="15"/>
      <name val="Times New Roman"/>
      <family val="1"/>
    </font>
    <font>
      <i/>
      <sz val="13"/>
      <name val="Times New Roman"/>
      <family val="1"/>
    </font>
    <font>
      <b/>
      <i/>
      <sz val="13"/>
      <name val="Times New Roman"/>
      <family val="1"/>
    </font>
    <font>
      <sz val="8"/>
      <name val="Calibri"/>
      <family val="2"/>
    </font>
    <font>
      <u/>
      <sz val="11"/>
      <color theme="1"/>
      <name val="Times New Roman"/>
      <family val="1"/>
    </font>
    <font>
      <b/>
      <sz val="11"/>
      <color theme="1"/>
      <name val="Times New Roman"/>
      <family val="1"/>
    </font>
    <font>
      <sz val="11"/>
      <color theme="1"/>
      <name val="Times New Roman"/>
      <family val="1"/>
    </font>
    <font>
      <b/>
      <sz val="15"/>
      <color theme="1"/>
      <name val="Times New Roman"/>
      <family val="1"/>
    </font>
    <font>
      <i/>
      <sz val="11"/>
      <color theme="1"/>
      <name val="Times New Roman"/>
      <family val="1"/>
    </font>
    <font>
      <i/>
      <sz val="14"/>
      <color theme="1"/>
      <name val="Times New Roman"/>
      <family val="1"/>
    </font>
    <font>
      <b/>
      <sz val="14"/>
      <color theme="1"/>
      <name val="Times New Roman"/>
      <family val="1"/>
    </font>
    <font>
      <u/>
      <sz val="14"/>
      <name val="Times New Roman"/>
      <family val="1"/>
    </font>
    <font>
      <b/>
      <vertAlign val="superscript"/>
      <sz val="14"/>
      <name val="Times New Roman"/>
      <family val="1"/>
    </font>
    <font>
      <b/>
      <vertAlign val="superscript"/>
      <sz val="13"/>
      <name val="Times New Roman"/>
      <family val="1"/>
    </font>
    <font>
      <i/>
      <sz val="16"/>
      <name val="Times New Roman"/>
      <family val="1"/>
    </font>
    <font>
      <sz val="9"/>
      <color indexed="81"/>
      <name val="Tahoma"/>
      <family val="2"/>
    </font>
    <font>
      <b/>
      <sz val="9"/>
      <color indexed="81"/>
      <name val="Tahoma"/>
      <family val="2"/>
    </font>
    <font>
      <u/>
      <sz val="11"/>
      <name val="Times New Roman"/>
      <family val="1"/>
    </font>
    <font>
      <sz val="11"/>
      <name val="Times New Roman"/>
      <family val="1"/>
    </font>
    <font>
      <i/>
      <sz val="11"/>
      <name val="Times New Roman"/>
      <family val="1"/>
    </font>
    <font>
      <u/>
      <sz val="10"/>
      <name val="Times New Roman"/>
      <family val="1"/>
    </font>
    <font>
      <b/>
      <sz val="10"/>
      <name val="Times New Roman"/>
      <family val="1"/>
    </font>
    <font>
      <sz val="10"/>
      <name val="Times New Roman"/>
      <family val="1"/>
    </font>
    <font>
      <i/>
      <sz val="10"/>
      <name val="Times New Roman"/>
      <family val="1"/>
    </font>
    <font>
      <u/>
      <sz val="13"/>
      <color theme="1"/>
      <name val="Times New Roman"/>
      <family val="1"/>
    </font>
    <font>
      <sz val="11"/>
      <color theme="1"/>
      <name val="Calibri"/>
      <family val="2"/>
    </font>
    <font>
      <i/>
      <sz val="12"/>
      <color theme="1"/>
      <name val="Times New Roman"/>
      <family val="1"/>
    </font>
    <font>
      <b/>
      <vertAlign val="superscript"/>
      <sz val="11"/>
      <color theme="1"/>
      <name val="Times New Roman"/>
      <family val="1"/>
    </font>
    <font>
      <b/>
      <sz val="10"/>
      <color theme="1"/>
      <name val="Times New Roman"/>
      <family val="1"/>
    </font>
    <font>
      <b/>
      <i/>
      <sz val="11"/>
      <color theme="1"/>
      <name val="Times New Roman"/>
      <family val="1"/>
    </font>
    <font>
      <b/>
      <vertAlign val="superscript"/>
      <sz val="10"/>
      <name val="Times New Roman"/>
      <family val="1"/>
    </font>
    <font>
      <b/>
      <i/>
      <sz val="10"/>
      <name val="Times New Roman"/>
      <family val="1"/>
    </font>
  </fonts>
  <fills count="4">
    <fill>
      <patternFill patternType="none"/>
    </fill>
    <fill>
      <patternFill patternType="gray125"/>
    </fill>
    <fill>
      <patternFill patternType="solid">
        <fgColor rgb="FFFFFFFF"/>
      </patternFill>
    </fill>
    <fill>
      <patternFill patternType="solid">
        <fgColor indexed="9"/>
        <bgColor indexed="64"/>
      </patternFill>
    </fill>
  </fills>
  <borders count="3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style="hair">
        <color rgb="FF000000"/>
      </bottom>
      <diagonal/>
    </border>
    <border>
      <left/>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8">
    <xf numFmtId="0" fontId="0" fillId="0" borderId="0"/>
    <xf numFmtId="0" fontId="1" fillId="0" borderId="0"/>
    <xf numFmtId="0" fontId="2" fillId="0" borderId="0"/>
    <xf numFmtId="0" fontId="6" fillId="0" borderId="0"/>
    <xf numFmtId="43" fontId="6" fillId="0" borderId="0" applyFont="0" applyFill="0" applyBorder="0" applyAlignment="0" applyProtection="0"/>
    <xf numFmtId="164" fontId="18" fillId="0" borderId="0" applyFill="0" applyBorder="0" applyAlignment="0" applyProtection="0"/>
    <xf numFmtId="0" fontId="20" fillId="0" borderId="0"/>
    <xf numFmtId="0" fontId="51" fillId="0" borderId="0"/>
  </cellStyleXfs>
  <cellXfs count="407">
    <xf numFmtId="0" fontId="0" fillId="0" borderId="0" xfId="0"/>
    <xf numFmtId="0" fontId="3" fillId="0" borderId="0" xfId="2" applyFont="1" applyAlignment="1">
      <alignment horizontal="left"/>
    </xf>
    <xf numFmtId="0" fontId="4" fillId="0" borderId="0" xfId="2" applyFont="1" applyAlignment="1">
      <alignment horizontal="left"/>
    </xf>
    <xf numFmtId="0" fontId="5" fillId="0" borderId="0" xfId="2" applyFont="1" applyAlignment="1">
      <alignment horizontal="centerContinuous"/>
    </xf>
    <xf numFmtId="0" fontId="3" fillId="0" borderId="0" xfId="2" applyFont="1" applyAlignment="1">
      <alignment horizontal="centerContinuous"/>
    </xf>
    <xf numFmtId="0" fontId="5" fillId="0" borderId="0" xfId="2" applyFont="1"/>
    <xf numFmtId="0" fontId="3" fillId="0" borderId="0" xfId="2" quotePrefix="1" applyFont="1" applyAlignment="1">
      <alignment horizontal="centerContinuous"/>
    </xf>
    <xf numFmtId="0" fontId="8" fillId="0" borderId="0" xfId="2" applyFont="1" applyBorder="1"/>
    <xf numFmtId="0" fontId="10" fillId="0" borderId="0" xfId="2" applyFont="1"/>
    <xf numFmtId="0" fontId="3" fillId="0" borderId="3" xfId="2" applyFont="1" applyBorder="1" applyAlignment="1">
      <alignment horizontal="centerContinuous" vertical="center"/>
    </xf>
    <xf numFmtId="0" fontId="11" fillId="0" borderId="3" xfId="2" applyFont="1" applyBorder="1" applyAlignment="1">
      <alignment horizontal="center" vertical="center"/>
    </xf>
    <xf numFmtId="0" fontId="11" fillId="0" borderId="3" xfId="2" quotePrefix="1" applyFont="1" applyBorder="1" applyAlignment="1">
      <alignment horizontal="center" vertical="center"/>
    </xf>
    <xf numFmtId="0" fontId="11" fillId="0" borderId="0" xfId="2" applyFont="1" applyAlignment="1">
      <alignment vertical="center"/>
    </xf>
    <xf numFmtId="0" fontId="3" fillId="0" borderId="4" xfId="2" applyFont="1" applyBorder="1" applyAlignment="1">
      <alignment horizontal="center" vertical="center"/>
    </xf>
    <xf numFmtId="0" fontId="8" fillId="0" borderId="0" xfId="2" applyFont="1" applyAlignment="1">
      <alignment vertical="center"/>
    </xf>
    <xf numFmtId="0" fontId="3" fillId="0" borderId="5" xfId="2" applyFont="1" applyBorder="1" applyAlignment="1">
      <alignment horizontal="center" vertical="center"/>
    </xf>
    <xf numFmtId="0" fontId="3" fillId="0" borderId="5" xfId="2" applyFont="1" applyBorder="1" applyAlignment="1">
      <alignment vertical="center" wrapText="1"/>
    </xf>
    <xf numFmtId="0" fontId="8" fillId="0" borderId="5" xfId="2" quotePrefix="1" applyFont="1" applyBorder="1" applyAlignment="1">
      <alignment horizontal="center" vertical="center"/>
    </xf>
    <xf numFmtId="0" fontId="8" fillId="0" borderId="5" xfId="2" applyFont="1" applyBorder="1" applyAlignment="1">
      <alignment vertical="center" wrapText="1"/>
    </xf>
    <xf numFmtId="0" fontId="9" fillId="0" borderId="0" xfId="2" applyFont="1" applyAlignment="1">
      <alignment vertical="center"/>
    </xf>
    <xf numFmtId="0" fontId="8" fillId="0" borderId="5" xfId="2" applyFont="1" applyBorder="1" applyAlignment="1">
      <alignment horizontal="center" vertical="center"/>
    </xf>
    <xf numFmtId="0" fontId="13" fillId="0" borderId="0" xfId="2" applyFont="1" applyAlignment="1">
      <alignment vertical="center"/>
    </xf>
    <xf numFmtId="0" fontId="5" fillId="0" borderId="0" xfId="2" applyFont="1" applyAlignment="1">
      <alignment vertical="center"/>
    </xf>
    <xf numFmtId="0" fontId="3" fillId="0" borderId="5" xfId="2" applyFont="1" applyFill="1" applyBorder="1" applyAlignment="1">
      <alignment horizontal="center" vertical="center"/>
    </xf>
    <xf numFmtId="0" fontId="5" fillId="0" borderId="0" xfId="2" applyFont="1" applyFill="1" applyAlignment="1">
      <alignment vertical="center"/>
    </xf>
    <xf numFmtId="0" fontId="8" fillId="0" borderId="0" xfId="2" applyFont="1" applyFill="1" applyAlignment="1">
      <alignment vertical="center"/>
    </xf>
    <xf numFmtId="0" fontId="3" fillId="0" borderId="0" xfId="2" applyFont="1" applyFill="1" applyAlignment="1">
      <alignment vertical="center"/>
    </xf>
    <xf numFmtId="0" fontId="3" fillId="0" borderId="5" xfId="2" applyFont="1" applyFill="1" applyBorder="1" applyAlignment="1">
      <alignment vertical="center" wrapText="1"/>
    </xf>
    <xf numFmtId="0" fontId="8" fillId="0" borderId="6" xfId="2" applyFont="1" applyBorder="1" applyAlignment="1">
      <alignment vertical="center"/>
    </xf>
    <xf numFmtId="0" fontId="8" fillId="0" borderId="6" xfId="2" applyFont="1" applyBorder="1" applyAlignment="1">
      <alignment vertical="center" wrapText="1"/>
    </xf>
    <xf numFmtId="0" fontId="8" fillId="0" borderId="0" xfId="2" applyFont="1" applyBorder="1" applyAlignment="1">
      <alignment vertical="center"/>
    </xf>
    <xf numFmtId="0" fontId="8" fillId="0" borderId="0" xfId="2" applyFont="1" applyBorder="1" applyAlignment="1">
      <alignment vertical="center" wrapText="1"/>
    </xf>
    <xf numFmtId="3" fontId="8" fillId="0" borderId="0" xfId="2" applyNumberFormat="1" applyFont="1" applyBorder="1" applyAlignment="1">
      <alignment vertical="center"/>
    </xf>
    <xf numFmtId="4" fontId="5" fillId="0" borderId="0" xfId="2" applyNumberFormat="1" applyFont="1" applyBorder="1" applyAlignment="1">
      <alignment vertical="center"/>
    </xf>
    <xf numFmtId="0" fontId="14" fillId="0" borderId="0" xfId="2" applyFont="1"/>
    <xf numFmtId="0" fontId="8" fillId="0" borderId="0" xfId="2" applyFont="1"/>
    <xf numFmtId="0" fontId="9" fillId="0" borderId="0" xfId="2" applyFont="1"/>
    <xf numFmtId="0" fontId="9" fillId="0" borderId="0" xfId="2" quotePrefix="1" applyFont="1"/>
    <xf numFmtId="0" fontId="3" fillId="0" borderId="0" xfId="3" applyFont="1" applyAlignment="1">
      <alignment horizontal="left"/>
    </xf>
    <xf numFmtId="0" fontId="4" fillId="0" borderId="0" xfId="3" applyFont="1" applyAlignment="1">
      <alignment horizontal="centerContinuous"/>
    </xf>
    <xf numFmtId="0" fontId="5" fillId="0" borderId="0" xfId="3" applyFont="1" applyAlignment="1">
      <alignment horizontal="centerContinuous"/>
    </xf>
    <xf numFmtId="0" fontId="3" fillId="0" borderId="0" xfId="3" applyFont="1" applyAlignment="1">
      <alignment horizontal="centerContinuous"/>
    </xf>
    <xf numFmtId="0" fontId="5" fillId="0" borderId="0" xfId="3" applyFont="1"/>
    <xf numFmtId="0" fontId="3" fillId="0" borderId="0" xfId="3" quotePrefix="1" applyFont="1" applyAlignment="1">
      <alignment horizontal="centerContinuous"/>
    </xf>
    <xf numFmtId="0" fontId="9" fillId="0" borderId="0" xfId="3" applyFont="1" applyAlignment="1">
      <alignment horizontal="left"/>
    </xf>
    <xf numFmtId="0" fontId="8" fillId="0" borderId="0" xfId="3" applyFont="1"/>
    <xf numFmtId="0" fontId="9" fillId="0" borderId="0" xfId="3" applyFont="1"/>
    <xf numFmtId="0" fontId="16" fillId="0" borderId="8" xfId="3" applyFont="1" applyBorder="1" applyAlignment="1">
      <alignment horizontal="centerContinuous"/>
    </xf>
    <xf numFmtId="0" fontId="16" fillId="0" borderId="9" xfId="3" applyFont="1" applyBorder="1" applyAlignment="1">
      <alignment horizontal="centerContinuous"/>
    </xf>
    <xf numFmtId="0" fontId="10" fillId="0" borderId="0" xfId="3" applyFont="1"/>
    <xf numFmtId="0" fontId="3" fillId="0" borderId="10" xfId="3" applyFont="1" applyBorder="1" applyAlignment="1">
      <alignment horizontal="centerContinuous"/>
    </xf>
    <xf numFmtId="0" fontId="16" fillId="0" borderId="11" xfId="3" applyFont="1" applyBorder="1" applyAlignment="1">
      <alignment horizontal="center"/>
    </xf>
    <xf numFmtId="0" fontId="16" fillId="0" borderId="12" xfId="3" applyFont="1" applyBorder="1" applyAlignment="1">
      <alignment horizontal="center"/>
    </xf>
    <xf numFmtId="0" fontId="11" fillId="0" borderId="13" xfId="3" applyFont="1" applyBorder="1" applyAlignment="1">
      <alignment horizontal="center" vertical="center"/>
    </xf>
    <xf numFmtId="0" fontId="11" fillId="0" borderId="3" xfId="3" applyFont="1" applyBorder="1" applyAlignment="1">
      <alignment horizontal="center" vertical="center"/>
    </xf>
    <xf numFmtId="0" fontId="11" fillId="0" borderId="11" xfId="3" applyFont="1" applyBorder="1" applyAlignment="1">
      <alignment horizontal="center" vertical="center"/>
    </xf>
    <xf numFmtId="0" fontId="11" fillId="0" borderId="14" xfId="3" applyFont="1" applyBorder="1" applyAlignment="1">
      <alignment horizontal="center" vertical="center"/>
    </xf>
    <xf numFmtId="0" fontId="11" fillId="0" borderId="0" xfId="3" applyFont="1" applyAlignment="1">
      <alignment vertical="center"/>
    </xf>
    <xf numFmtId="0" fontId="3" fillId="0" borderId="4" xfId="2" applyFont="1" applyBorder="1" applyAlignment="1">
      <alignment horizontal="center" vertical="center" wrapText="1"/>
    </xf>
    <xf numFmtId="3" fontId="8" fillId="0" borderId="15" xfId="3" applyNumberFormat="1" applyFont="1" applyBorder="1"/>
    <xf numFmtId="3" fontId="8" fillId="0" borderId="4" xfId="3" applyNumberFormat="1" applyFont="1" applyBorder="1"/>
    <xf numFmtId="3" fontId="15" fillId="0" borderId="16" xfId="3" applyNumberFormat="1" applyFont="1" applyBorder="1"/>
    <xf numFmtId="3" fontId="15" fillId="0" borderId="5" xfId="3" applyNumberFormat="1" applyFont="1" applyBorder="1"/>
    <xf numFmtId="0" fontId="9" fillId="0" borderId="5" xfId="2" quotePrefix="1" applyFont="1" applyBorder="1" applyAlignment="1">
      <alignment horizontal="center" vertical="center"/>
    </xf>
    <xf numFmtId="3" fontId="9" fillId="0" borderId="16" xfId="3" applyNumberFormat="1" applyFont="1" applyBorder="1"/>
    <xf numFmtId="3" fontId="9" fillId="0" borderId="17" xfId="3" applyNumberFormat="1" applyFont="1" applyBorder="1"/>
    <xf numFmtId="3" fontId="8" fillId="0" borderId="16" xfId="3" applyNumberFormat="1" applyFont="1" applyBorder="1"/>
    <xf numFmtId="3" fontId="8" fillId="0" borderId="17" xfId="3" applyNumberFormat="1" applyFont="1" applyBorder="1"/>
    <xf numFmtId="0" fontId="9" fillId="0" borderId="5" xfId="2" quotePrefix="1" applyFont="1" applyBorder="1" applyAlignment="1">
      <alignment vertical="center" wrapText="1"/>
    </xf>
    <xf numFmtId="0" fontId="9" fillId="0" borderId="0" xfId="2" quotePrefix="1" applyFont="1" applyAlignment="1">
      <alignment horizontal="left"/>
    </xf>
    <xf numFmtId="0" fontId="9" fillId="0" borderId="11" xfId="2" quotePrefix="1" applyFont="1" applyBorder="1"/>
    <xf numFmtId="0" fontId="9" fillId="0" borderId="0" xfId="2" quotePrefix="1" applyFont="1" applyBorder="1"/>
    <xf numFmtId="0" fontId="21" fillId="0" borderId="0" xfId="3" applyFont="1" applyAlignment="1">
      <alignment horizontal="left"/>
    </xf>
    <xf numFmtId="0" fontId="12" fillId="0" borderId="4" xfId="2" applyFont="1" applyBorder="1" applyAlignment="1">
      <alignment horizontal="center" vertical="center" wrapText="1"/>
    </xf>
    <xf numFmtId="0" fontId="3" fillId="0" borderId="5" xfId="2" applyFont="1" applyBorder="1" applyAlignment="1">
      <alignment horizontal="center" vertical="center" wrapText="1"/>
    </xf>
    <xf numFmtId="0" fontId="8" fillId="0" borderId="30" xfId="2" applyFont="1" applyBorder="1" applyAlignment="1">
      <alignment vertical="center" wrapText="1"/>
    </xf>
    <xf numFmtId="0" fontId="8" fillId="0" borderId="30" xfId="2" applyFont="1" applyBorder="1" applyAlignment="1">
      <alignment vertical="center"/>
    </xf>
    <xf numFmtId="3" fontId="8" fillId="0" borderId="30" xfId="2" applyNumberFormat="1" applyFont="1" applyBorder="1" applyAlignment="1">
      <alignment vertical="center"/>
    </xf>
    <xf numFmtId="10" fontId="5" fillId="0" borderId="30" xfId="2" applyNumberFormat="1" applyFont="1" applyBorder="1" applyAlignment="1">
      <alignment vertical="center"/>
    </xf>
    <xf numFmtId="0" fontId="10" fillId="0" borderId="0" xfId="0" applyFont="1" applyAlignment="1">
      <alignment vertical="center"/>
    </xf>
    <xf numFmtId="0" fontId="10" fillId="2" borderId="5" xfId="0" applyFont="1" applyFill="1" applyBorder="1" applyAlignment="1">
      <alignment horizontal="left" vertical="center" wrapText="1"/>
    </xf>
    <xf numFmtId="0" fontId="10" fillId="2" borderId="5" xfId="0" quotePrefix="1" applyFont="1" applyFill="1" applyBorder="1" applyAlignment="1">
      <alignment horizontal="center" vertical="center" wrapText="1"/>
    </xf>
    <xf numFmtId="0" fontId="14" fillId="0" borderId="0" xfId="0" applyFont="1" applyAlignment="1">
      <alignment vertical="center"/>
    </xf>
    <xf numFmtId="0" fontId="3" fillId="0" borderId="0" xfId="2" applyFont="1" applyAlignment="1">
      <alignment vertical="center"/>
    </xf>
    <xf numFmtId="0" fontId="8" fillId="0" borderId="5" xfId="2" quotePrefix="1" applyFont="1" applyBorder="1" applyAlignment="1">
      <alignment vertical="center" wrapText="1"/>
    </xf>
    <xf numFmtId="0" fontId="3" fillId="0" borderId="5" xfId="2" quotePrefix="1" applyFont="1" applyBorder="1" applyAlignment="1">
      <alignment horizontal="center" vertical="center"/>
    </xf>
    <xf numFmtId="3" fontId="3" fillId="0" borderId="16" xfId="3" applyNumberFormat="1" applyFont="1" applyBorder="1"/>
    <xf numFmtId="3" fontId="3" fillId="0" borderId="17" xfId="3" applyNumberFormat="1" applyFont="1" applyBorder="1"/>
    <xf numFmtId="0" fontId="3" fillId="0" borderId="0" xfId="3" applyFont="1"/>
    <xf numFmtId="3" fontId="3" fillId="0" borderId="18" xfId="3" applyNumberFormat="1" applyFont="1" applyBorder="1"/>
    <xf numFmtId="0" fontId="28" fillId="2" borderId="5" xfId="0" applyFont="1" applyFill="1" applyBorder="1" applyAlignment="1">
      <alignment horizontal="left" vertical="center" wrapText="1"/>
    </xf>
    <xf numFmtId="0" fontId="28" fillId="2" borderId="5" xfId="0" quotePrefix="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5" xfId="1" applyFont="1" applyFill="1" applyBorder="1" applyAlignment="1">
      <alignment horizontal="left" vertical="center" wrapText="1"/>
    </xf>
    <xf numFmtId="0" fontId="10" fillId="0" borderId="0" xfId="1" applyFont="1"/>
    <xf numFmtId="0" fontId="28" fillId="0" borderId="0" xfId="1" applyFont="1"/>
    <xf numFmtId="0" fontId="28" fillId="0" borderId="5" xfId="2" applyFont="1" applyBorder="1" applyAlignment="1">
      <alignment vertical="center" wrapText="1"/>
    </xf>
    <xf numFmtId="0" fontId="9" fillId="0" borderId="0" xfId="2" applyFont="1" applyAlignment="1">
      <alignment horizontal="left"/>
    </xf>
    <xf numFmtId="0" fontId="3" fillId="0" borderId="3" xfId="3" applyFont="1" applyBorder="1" applyAlignment="1">
      <alignment horizontal="center" vertical="center" wrapText="1"/>
    </xf>
    <xf numFmtId="0" fontId="30" fillId="0" borderId="0" xfId="1" applyFont="1" applyAlignment="1">
      <alignment vertical="center"/>
    </xf>
    <xf numFmtId="0" fontId="31" fillId="0" borderId="0" xfId="1" applyFont="1" applyAlignment="1">
      <alignment vertical="center"/>
    </xf>
    <xf numFmtId="0" fontId="32" fillId="0" borderId="0" xfId="1" applyFont="1" applyAlignment="1">
      <alignment vertical="center"/>
    </xf>
    <xf numFmtId="0" fontId="31" fillId="0" borderId="0" xfId="1" applyFont="1" applyAlignment="1">
      <alignment vertical="center" wrapText="1"/>
    </xf>
    <xf numFmtId="0" fontId="34" fillId="0" borderId="1" xfId="1" applyFont="1" applyBorder="1" applyAlignment="1">
      <alignment vertical="center" wrapText="1"/>
    </xf>
    <xf numFmtId="0" fontId="32" fillId="0" borderId="0" xfId="1" applyFont="1" applyAlignment="1"/>
    <xf numFmtId="0" fontId="32" fillId="0" borderId="0" xfId="1" applyFont="1"/>
    <xf numFmtId="0" fontId="31" fillId="0" borderId="0" xfId="1" applyFont="1" applyAlignment="1">
      <alignment vertical="top" wrapText="1"/>
    </xf>
    <xf numFmtId="0" fontId="37" fillId="0" borderId="0" xfId="3" applyFont="1" applyAlignment="1">
      <alignment horizontal="left"/>
    </xf>
    <xf numFmtId="0" fontId="8" fillId="0" borderId="5" xfId="3" applyFont="1" applyBorder="1" applyAlignment="1">
      <alignment vertical="center" wrapText="1"/>
    </xf>
    <xf numFmtId="0" fontId="9" fillId="0" borderId="5" xfId="3" quotePrefix="1" applyFont="1" applyBorder="1" applyAlignment="1">
      <alignment vertical="center" wrapText="1"/>
    </xf>
    <xf numFmtId="0" fontId="3" fillId="3" borderId="5" xfId="2" applyFont="1" applyFill="1" applyBorder="1" applyAlignment="1">
      <alignment horizontal="center" vertical="center"/>
    </xf>
    <xf numFmtId="0" fontId="3" fillId="3" borderId="5" xfId="2" applyNumberFormat="1" applyFont="1" applyFill="1" applyBorder="1" applyAlignment="1">
      <alignment horizontal="left" vertical="center" wrapText="1"/>
    </xf>
    <xf numFmtId="3" fontId="8" fillId="0" borderId="11" xfId="3" applyNumberFormat="1" applyFont="1" applyBorder="1"/>
    <xf numFmtId="3" fontId="8" fillId="0" borderId="12" xfId="3" applyNumberFormat="1" applyFont="1" applyBorder="1"/>
    <xf numFmtId="0" fontId="3" fillId="3" borderId="6" xfId="2" applyFont="1" applyFill="1" applyBorder="1" applyAlignment="1">
      <alignment horizontal="center" vertical="center"/>
    </xf>
    <xf numFmtId="0" fontId="3" fillId="3" borderId="6" xfId="2" applyNumberFormat="1" applyFont="1" applyFill="1" applyBorder="1" applyAlignment="1">
      <alignment horizontal="left" vertical="center" wrapText="1"/>
    </xf>
    <xf numFmtId="0" fontId="14" fillId="0" borderId="0" xfId="3" quotePrefix="1" applyFont="1" applyBorder="1" applyAlignment="1">
      <alignment vertical="center"/>
    </xf>
    <xf numFmtId="0" fontId="14" fillId="0" borderId="0" xfId="3" applyFont="1" applyBorder="1" applyAlignment="1">
      <alignment vertical="center" wrapText="1"/>
    </xf>
    <xf numFmtId="3" fontId="14" fillId="0" borderId="0" xfId="3" applyNumberFormat="1" applyFont="1" applyBorder="1" applyAlignment="1">
      <alignment horizontal="right" vertical="center"/>
    </xf>
    <xf numFmtId="4" fontId="14" fillId="0" borderId="0" xfId="3" applyNumberFormat="1" applyFont="1" applyBorder="1" applyAlignment="1">
      <alignment horizontal="right" vertical="center"/>
    </xf>
    <xf numFmtId="0" fontId="14" fillId="0" borderId="0" xfId="3" applyFont="1" applyBorder="1"/>
    <xf numFmtId="0" fontId="14" fillId="0" borderId="0" xfId="3" applyFont="1"/>
    <xf numFmtId="0" fontId="25" fillId="0" borderId="0" xfId="1" applyFont="1" applyAlignment="1">
      <alignment vertical="top"/>
    </xf>
    <xf numFmtId="0" fontId="10" fillId="0" borderId="0" xfId="1" applyFont="1" applyAlignment="1"/>
    <xf numFmtId="0" fontId="10" fillId="0" borderId="0" xfId="1" applyFont="1" applyAlignment="1">
      <alignment vertical="top"/>
    </xf>
    <xf numFmtId="3" fontId="10" fillId="0" borderId="0" xfId="1" applyNumberFormat="1" applyFont="1" applyBorder="1" applyAlignment="1">
      <alignment vertical="center"/>
    </xf>
    <xf numFmtId="0" fontId="10" fillId="0" borderId="0" xfId="1" applyFont="1" applyBorder="1" applyAlignment="1">
      <alignment vertical="center"/>
    </xf>
    <xf numFmtId="3" fontId="10" fillId="0" borderId="0" xfId="1" applyNumberFormat="1" applyFont="1" applyAlignment="1">
      <alignment vertical="center"/>
    </xf>
    <xf numFmtId="3" fontId="10" fillId="0" borderId="0" xfId="1" applyNumberFormat="1" applyFont="1" applyAlignment="1"/>
    <xf numFmtId="0" fontId="10" fillId="0" borderId="0" xfId="1" applyFont="1" applyAlignment="1">
      <alignment horizontal="center" vertical="top"/>
    </xf>
    <xf numFmtId="0" fontId="10" fillId="0" borderId="0" xfId="1" applyFont="1" applyAlignment="1">
      <alignment horizontal="center" vertical="top" wrapText="1"/>
    </xf>
    <xf numFmtId="0" fontId="27" fillId="0" borderId="0" xfId="1" applyFont="1" applyAlignment="1">
      <alignment horizontal="right" vertical="top"/>
    </xf>
    <xf numFmtId="3" fontId="10" fillId="0" borderId="0" xfId="1" applyNumberFormat="1" applyFont="1"/>
    <xf numFmtId="0" fontId="16" fillId="2" borderId="3"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6" fillId="2" borderId="5" xfId="1" applyFont="1" applyFill="1" applyBorder="1" applyAlignment="1">
      <alignment horizontal="center" vertical="center" wrapText="1"/>
    </xf>
    <xf numFmtId="0" fontId="16" fillId="2" borderId="5" xfId="1" applyFont="1" applyFill="1" applyBorder="1" applyAlignment="1">
      <alignment horizontal="left" vertical="center" wrapText="1"/>
    </xf>
    <xf numFmtId="3" fontId="16" fillId="0" borderId="0" xfId="1" applyNumberFormat="1" applyFont="1" applyBorder="1" applyAlignment="1">
      <alignment vertical="center"/>
    </xf>
    <xf numFmtId="0" fontId="16" fillId="0" borderId="0" xfId="1" applyFont="1" applyBorder="1" applyAlignment="1">
      <alignment vertical="center"/>
    </xf>
    <xf numFmtId="3" fontId="16" fillId="0" borderId="0" xfId="1" applyNumberFormat="1" applyFont="1" applyAlignment="1">
      <alignment vertical="center"/>
    </xf>
    <xf numFmtId="3" fontId="16" fillId="0" borderId="0" xfId="1" applyNumberFormat="1" applyFont="1"/>
    <xf numFmtId="0" fontId="16" fillId="0" borderId="0" xfId="1" applyFont="1"/>
    <xf numFmtId="3" fontId="16" fillId="0" borderId="0" xfId="1" applyNumberFormat="1" applyFont="1" applyBorder="1" applyAlignment="1">
      <alignment horizontal="center" vertical="center"/>
    </xf>
    <xf numFmtId="3" fontId="16" fillId="0" borderId="0" xfId="1" applyNumberFormat="1" applyFont="1" applyBorder="1" applyAlignment="1">
      <alignment horizontal="center" vertical="center" wrapText="1"/>
    </xf>
    <xf numFmtId="3" fontId="16" fillId="0" borderId="0" xfId="1" applyNumberFormat="1" applyFont="1" applyAlignment="1">
      <alignment horizontal="center" vertical="center"/>
    </xf>
    <xf numFmtId="0" fontId="10" fillId="2" borderId="5" xfId="1" quotePrefix="1" applyFont="1" applyFill="1" applyBorder="1" applyAlignment="1">
      <alignment horizontal="center" vertical="center" wrapText="1"/>
    </xf>
    <xf numFmtId="3" fontId="10" fillId="2" borderId="14" xfId="1" applyNumberFormat="1" applyFont="1" applyFill="1" applyBorder="1" applyAlignment="1">
      <alignment horizontal="right" vertical="center" wrapText="1"/>
    </xf>
    <xf numFmtId="0" fontId="16" fillId="2" borderId="6" xfId="1" applyFont="1" applyFill="1" applyBorder="1" applyAlignment="1">
      <alignment horizontal="center" vertical="center" wrapText="1"/>
    </xf>
    <xf numFmtId="0" fontId="16" fillId="2" borderId="6" xfId="1" applyFont="1" applyFill="1" applyBorder="1" applyAlignment="1">
      <alignment horizontal="left" vertical="center" wrapText="1"/>
    </xf>
    <xf numFmtId="3" fontId="10" fillId="0" borderId="0" xfId="1" applyNumberFormat="1" applyFont="1" applyBorder="1" applyAlignment="1">
      <alignment horizontal="center" vertical="center"/>
    </xf>
    <xf numFmtId="3" fontId="10" fillId="0" borderId="0" xfId="1" applyNumberFormat="1" applyFont="1" applyAlignment="1">
      <alignment horizontal="center" vertical="center"/>
    </xf>
    <xf numFmtId="3" fontId="10" fillId="0" borderId="0" xfId="1" quotePrefix="1" applyNumberFormat="1" applyFont="1" applyBorder="1" applyAlignment="1">
      <alignment horizontal="center" vertical="center"/>
    </xf>
    <xf numFmtId="0" fontId="25" fillId="0" borderId="0" xfId="1" applyFont="1" applyAlignment="1">
      <alignment vertical="center"/>
    </xf>
    <xf numFmtId="0" fontId="10" fillId="0" borderId="0" xfId="1" applyFont="1" applyAlignment="1">
      <alignment vertical="center"/>
    </xf>
    <xf numFmtId="0" fontId="16" fillId="0" borderId="0" xfId="1" applyFont="1" applyAlignment="1">
      <alignment vertical="center" wrapText="1"/>
    </xf>
    <xf numFmtId="0" fontId="27" fillId="2" borderId="5" xfId="1" applyFont="1" applyFill="1" applyBorder="1" applyAlignment="1">
      <alignment horizontal="center" vertical="center" wrapText="1"/>
    </xf>
    <xf numFmtId="0" fontId="27" fillId="2" borderId="5" xfId="1" applyFont="1" applyFill="1" applyBorder="1" applyAlignment="1">
      <alignment horizontal="left" vertical="center" wrapText="1"/>
    </xf>
    <xf numFmtId="0" fontId="27" fillId="0" borderId="0" xfId="1" applyFont="1"/>
    <xf numFmtId="0" fontId="10" fillId="0" borderId="5" xfId="2" applyFont="1" applyBorder="1" applyAlignment="1">
      <alignment vertical="center" wrapText="1"/>
    </xf>
    <xf numFmtId="0" fontId="43" fillId="0" borderId="0" xfId="1" applyFont="1" applyAlignment="1">
      <alignment vertical="center"/>
    </xf>
    <xf numFmtId="0" fontId="44" fillId="0" borderId="0" xfId="1" applyFont="1" applyAlignment="1">
      <alignment vertical="center"/>
    </xf>
    <xf numFmtId="0" fontId="11" fillId="0" borderId="0" xfId="1" applyFont="1" applyAlignment="1">
      <alignment vertical="center"/>
    </xf>
    <xf numFmtId="0" fontId="45" fillId="0" borderId="0" xfId="1" applyFont="1" applyAlignment="1">
      <alignment vertical="center"/>
    </xf>
    <xf numFmtId="0" fontId="44" fillId="0" borderId="1" xfId="1" applyFont="1" applyBorder="1" applyAlignment="1">
      <alignment vertical="center"/>
    </xf>
    <xf numFmtId="0" fontId="45" fillId="0" borderId="1" xfId="1" applyFont="1" applyBorder="1" applyAlignment="1">
      <alignment vertical="center"/>
    </xf>
    <xf numFmtId="0" fontId="46" fillId="0" borderId="0" xfId="1" applyFont="1" applyAlignment="1">
      <alignment vertical="center"/>
    </xf>
    <xf numFmtId="0" fontId="47" fillId="0" borderId="0" xfId="1" applyFont="1" applyAlignment="1">
      <alignment vertical="center"/>
    </xf>
    <xf numFmtId="0" fontId="48" fillId="0" borderId="0" xfId="1" applyFont="1" applyAlignment="1">
      <alignment vertical="center"/>
    </xf>
    <xf numFmtId="0" fontId="49" fillId="0" borderId="0" xfId="1" applyFont="1" applyAlignment="1">
      <alignment horizontal="center" vertical="center"/>
    </xf>
    <xf numFmtId="0" fontId="49" fillId="0" borderId="0" xfId="1" applyFont="1" applyAlignment="1">
      <alignment vertical="center"/>
    </xf>
    <xf numFmtId="0" fontId="50" fillId="0" borderId="0" xfId="1" applyFont="1" applyAlignment="1">
      <alignment vertical="top"/>
    </xf>
    <xf numFmtId="3" fontId="8" fillId="0" borderId="18" xfId="3" applyNumberFormat="1" applyFont="1" applyBorder="1"/>
    <xf numFmtId="165" fontId="9" fillId="0" borderId="0" xfId="3" applyNumberFormat="1" applyFont="1"/>
    <xf numFmtId="0" fontId="14" fillId="0" borderId="0" xfId="0" quotePrefix="1" applyFont="1" applyAlignment="1">
      <alignment horizontal="left" vertical="center"/>
    </xf>
    <xf numFmtId="0" fontId="5" fillId="0" borderId="0" xfId="0" applyFont="1" applyAlignment="1">
      <alignment vertical="center"/>
    </xf>
    <xf numFmtId="0" fontId="10" fillId="0" borderId="0" xfId="0" applyFont="1" applyAlignment="1">
      <alignment horizontal="left" vertical="center"/>
    </xf>
    <xf numFmtId="0" fontId="25" fillId="2" borderId="0" xfId="7" applyFont="1" applyFill="1" applyAlignment="1">
      <alignment horizontal="left" vertical="center"/>
    </xf>
    <xf numFmtId="0" fontId="16" fillId="2" borderId="0" xfId="7" applyFont="1" applyFill="1" applyAlignment="1">
      <alignment vertical="center" wrapText="1"/>
    </xf>
    <xf numFmtId="0" fontId="10" fillId="0" borderId="0" xfId="7" applyFont="1" applyAlignment="1">
      <alignment vertical="center"/>
    </xf>
    <xf numFmtId="0" fontId="16" fillId="2" borderId="0" xfId="7" applyFont="1" applyFill="1" applyAlignment="1">
      <alignment vertical="center"/>
    </xf>
    <xf numFmtId="0" fontId="10" fillId="0" borderId="0" xfId="7" applyFont="1" applyAlignment="1">
      <alignment horizontal="center" vertical="center" wrapText="1"/>
    </xf>
    <xf numFmtId="0" fontId="26" fillId="0" borderId="0" xfId="7" applyFont="1" applyAlignment="1">
      <alignment vertical="center"/>
    </xf>
    <xf numFmtId="0" fontId="16" fillId="2" borderId="3" xfId="7" applyFont="1" applyFill="1" applyBorder="1" applyAlignment="1">
      <alignment horizontal="center" vertical="center" wrapText="1"/>
    </xf>
    <xf numFmtId="0" fontId="16" fillId="2" borderId="4" xfId="7" applyFont="1" applyFill="1" applyBorder="1" applyAlignment="1">
      <alignment horizontal="center" vertical="center" wrapText="1"/>
    </xf>
    <xf numFmtId="0" fontId="16" fillId="0" borderId="0" xfId="7" applyFont="1" applyAlignment="1">
      <alignment vertical="center"/>
    </xf>
    <xf numFmtId="0" fontId="16" fillId="2" borderId="5" xfId="7" applyFont="1" applyFill="1" applyBorder="1" applyAlignment="1">
      <alignment horizontal="center" vertical="center" wrapText="1"/>
    </xf>
    <xf numFmtId="0" fontId="16" fillId="2" borderId="5" xfId="7" applyFont="1" applyFill="1" applyBorder="1" applyAlignment="1">
      <alignment horizontal="left" vertical="center" wrapText="1"/>
    </xf>
    <xf numFmtId="0" fontId="10" fillId="2" borderId="5" xfId="7" applyFont="1" applyFill="1" applyBorder="1" applyAlignment="1">
      <alignment horizontal="center" vertical="center" wrapText="1"/>
    </xf>
    <xf numFmtId="0" fontId="10" fillId="2" borderId="5" xfId="7" applyFont="1" applyFill="1" applyBorder="1" applyAlignment="1">
      <alignment horizontal="left" vertical="center" wrapText="1"/>
    </xf>
    <xf numFmtId="0" fontId="27" fillId="2" borderId="5" xfId="7" applyFont="1" applyFill="1" applyBorder="1" applyAlignment="1">
      <alignment horizontal="center" vertical="center" wrapText="1"/>
    </xf>
    <xf numFmtId="0" fontId="27" fillId="2" borderId="5" xfId="7" applyFont="1" applyFill="1" applyBorder="1" applyAlignment="1">
      <alignment horizontal="left" vertical="center" wrapText="1"/>
    </xf>
    <xf numFmtId="0" fontId="27" fillId="0" borderId="0" xfId="7" applyFont="1" applyAlignment="1">
      <alignment vertical="center"/>
    </xf>
    <xf numFmtId="0" fontId="10" fillId="2" borderId="5" xfId="7" quotePrefix="1" applyFont="1" applyFill="1" applyBorder="1" applyAlignment="1">
      <alignment horizontal="center" vertical="center" wrapText="1"/>
    </xf>
    <xf numFmtId="0" fontId="10" fillId="0" borderId="5" xfId="7" applyFont="1" applyBorder="1" applyAlignment="1">
      <alignment horizontal="left" vertical="center" wrapText="1"/>
    </xf>
    <xf numFmtId="0" fontId="10" fillId="0" borderId="5" xfId="7" applyFont="1" applyBorder="1"/>
    <xf numFmtId="0" fontId="16" fillId="2" borderId="6" xfId="7" applyFont="1" applyFill="1" applyBorder="1" applyAlignment="1">
      <alignment horizontal="center" vertical="center" wrapText="1"/>
    </xf>
    <xf numFmtId="0" fontId="16" fillId="2" borderId="6" xfId="7" applyFont="1" applyFill="1" applyBorder="1" applyAlignment="1">
      <alignment horizontal="left" vertical="center" wrapText="1"/>
    </xf>
    <xf numFmtId="37" fontId="16" fillId="0" borderId="0" xfId="7" applyNumberFormat="1" applyFont="1" applyAlignment="1">
      <alignment vertical="center"/>
    </xf>
    <xf numFmtId="166" fontId="16" fillId="2" borderId="4" xfId="7" applyNumberFormat="1" applyFont="1" applyFill="1" applyBorder="1" applyAlignment="1">
      <alignment horizontal="right" vertical="center" wrapText="1"/>
    </xf>
    <xf numFmtId="166" fontId="16" fillId="2" borderId="5" xfId="7" applyNumberFormat="1" applyFont="1" applyFill="1" applyBorder="1" applyAlignment="1">
      <alignment horizontal="right" vertical="center" wrapText="1"/>
    </xf>
    <xf numFmtId="166" fontId="10" fillId="2" borderId="5" xfId="7" applyNumberFormat="1" applyFont="1" applyFill="1" applyBorder="1" applyAlignment="1">
      <alignment horizontal="right" vertical="center" wrapText="1"/>
    </xf>
    <xf numFmtId="166" fontId="27" fillId="2" borderId="5" xfId="7" applyNumberFormat="1" applyFont="1" applyFill="1" applyBorder="1" applyAlignment="1">
      <alignment horizontal="right" vertical="center" wrapText="1"/>
    </xf>
    <xf numFmtId="166" fontId="16" fillId="2" borderId="6" xfId="7" applyNumberFormat="1" applyFont="1" applyFill="1" applyBorder="1" applyAlignment="1">
      <alignment horizontal="right" vertical="center" wrapText="1"/>
    </xf>
    <xf numFmtId="3" fontId="16" fillId="0" borderId="0" xfId="1" applyNumberFormat="1" applyFont="1" applyBorder="1" applyAlignment="1">
      <alignment horizontal="right" vertical="center"/>
    </xf>
    <xf numFmtId="165" fontId="16" fillId="2" borderId="5" xfId="1" applyNumberFormat="1" applyFont="1" applyFill="1" applyBorder="1" applyAlignment="1">
      <alignment horizontal="right" vertical="center" wrapText="1"/>
    </xf>
    <xf numFmtId="165" fontId="16" fillId="2" borderId="4" xfId="1" applyNumberFormat="1" applyFont="1" applyFill="1" applyBorder="1" applyAlignment="1">
      <alignment horizontal="right" vertical="center" wrapText="1"/>
    </xf>
    <xf numFmtId="165" fontId="10" fillId="2" borderId="5" xfId="1" applyNumberFormat="1" applyFont="1" applyFill="1" applyBorder="1" applyAlignment="1">
      <alignment horizontal="right" vertical="center" wrapText="1"/>
    </xf>
    <xf numFmtId="165" fontId="16" fillId="2" borderId="6" xfId="1" applyNumberFormat="1" applyFont="1" applyFill="1" applyBorder="1" applyAlignment="1">
      <alignment horizontal="right" vertical="center" wrapText="1"/>
    </xf>
    <xf numFmtId="167" fontId="16" fillId="2" borderId="7" xfId="1" applyNumberFormat="1" applyFont="1" applyFill="1" applyBorder="1" applyAlignment="1">
      <alignment horizontal="right" vertical="center" wrapText="1"/>
    </xf>
    <xf numFmtId="167" fontId="16" fillId="2" borderId="5" xfId="1" applyNumberFormat="1" applyFont="1" applyFill="1" applyBorder="1" applyAlignment="1">
      <alignment horizontal="right" vertical="center" wrapText="1"/>
    </xf>
    <xf numFmtId="167" fontId="10" fillId="2" borderId="5" xfId="1" applyNumberFormat="1" applyFont="1" applyFill="1" applyBorder="1" applyAlignment="1">
      <alignment horizontal="right" vertical="center" wrapText="1"/>
    </xf>
    <xf numFmtId="167" fontId="16" fillId="2" borderId="6" xfId="1" applyNumberFormat="1" applyFont="1" applyFill="1" applyBorder="1" applyAlignment="1">
      <alignment horizontal="right" vertical="center" wrapText="1"/>
    </xf>
    <xf numFmtId="165" fontId="27" fillId="2" borderId="5" xfId="1" applyNumberFormat="1" applyFont="1" applyFill="1" applyBorder="1" applyAlignment="1">
      <alignment horizontal="right" vertical="center" wrapText="1"/>
    </xf>
    <xf numFmtId="165" fontId="28" fillId="2" borderId="5" xfId="1" applyNumberFormat="1" applyFont="1" applyFill="1" applyBorder="1" applyAlignment="1">
      <alignment horizontal="right" vertical="center" wrapText="1"/>
    </xf>
    <xf numFmtId="165" fontId="10" fillId="0" borderId="5" xfId="6" applyNumberFormat="1" applyFont="1" applyBorder="1" applyAlignment="1">
      <alignment horizontal="right" vertical="center" wrapText="1"/>
    </xf>
    <xf numFmtId="165" fontId="10" fillId="2" borderId="5" xfId="0" applyNumberFormat="1" applyFont="1" applyFill="1" applyBorder="1" applyAlignment="1">
      <alignment horizontal="right" vertical="center" wrapText="1"/>
    </xf>
    <xf numFmtId="167" fontId="16" fillId="2" borderId="4" xfId="1" applyNumberFormat="1" applyFont="1" applyFill="1" applyBorder="1" applyAlignment="1">
      <alignment horizontal="right" vertical="center" wrapText="1"/>
    </xf>
    <xf numFmtId="167" fontId="27" fillId="2" borderId="5" xfId="1" applyNumberFormat="1" applyFont="1" applyFill="1" applyBorder="1" applyAlignment="1">
      <alignment horizontal="right" vertical="center" wrapText="1"/>
    </xf>
    <xf numFmtId="167" fontId="28" fillId="2" borderId="5" xfId="1" applyNumberFormat="1" applyFont="1" applyFill="1" applyBorder="1" applyAlignment="1">
      <alignment horizontal="right" vertical="center" wrapText="1"/>
    </xf>
    <xf numFmtId="167" fontId="10" fillId="2" borderId="6" xfId="1" applyNumberFormat="1" applyFont="1" applyFill="1" applyBorder="1" applyAlignment="1">
      <alignment horizontal="right" vertical="center" wrapText="1"/>
    </xf>
    <xf numFmtId="165" fontId="16" fillId="0" borderId="0" xfId="7" applyNumberFormat="1" applyFont="1" applyAlignment="1">
      <alignment vertical="center"/>
    </xf>
    <xf numFmtId="0" fontId="34" fillId="0" borderId="0" xfId="1" applyFont="1" applyBorder="1" applyAlignment="1">
      <alignment vertical="center" wrapText="1"/>
    </xf>
    <xf numFmtId="165" fontId="16" fillId="0" borderId="0" xfId="1" applyNumberFormat="1" applyFont="1"/>
    <xf numFmtId="165" fontId="3" fillId="0" borderId="4" xfId="2" applyNumberFormat="1" applyFont="1" applyBorder="1" applyAlignment="1">
      <alignment vertical="center"/>
    </xf>
    <xf numFmtId="165" fontId="3" fillId="0" borderId="5" xfId="2" applyNumberFormat="1" applyFont="1" applyBorder="1" applyAlignment="1">
      <alignment vertical="center"/>
    </xf>
    <xf numFmtId="165" fontId="8" fillId="0" borderId="5" xfId="2" applyNumberFormat="1" applyFont="1" applyBorder="1" applyAlignment="1">
      <alignment vertical="center"/>
    </xf>
    <xf numFmtId="165" fontId="17" fillId="0" borderId="5" xfId="2" applyNumberFormat="1" applyFont="1" applyBorder="1" applyAlignment="1">
      <alignment vertical="center"/>
    </xf>
    <xf numFmtId="165" fontId="8" fillId="0" borderId="5" xfId="2" applyNumberFormat="1" applyFont="1" applyFill="1" applyBorder="1" applyAlignment="1">
      <alignment vertical="center"/>
    </xf>
    <xf numFmtId="165" fontId="17" fillId="0" borderId="5" xfId="2" applyNumberFormat="1" applyFont="1" applyFill="1" applyBorder="1" applyAlignment="1">
      <alignment vertical="center"/>
    </xf>
    <xf numFmtId="165" fontId="8" fillId="0" borderId="6" xfId="2" applyNumberFormat="1" applyFont="1" applyBorder="1" applyAlignment="1">
      <alignment vertical="center"/>
    </xf>
    <xf numFmtId="165" fontId="3" fillId="0" borderId="4" xfId="3" applyNumberFormat="1" applyFont="1" applyBorder="1" applyAlignment="1">
      <alignment horizontal="right" vertical="center"/>
    </xf>
    <xf numFmtId="165" fontId="3" fillId="0" borderId="5" xfId="3" applyNumberFormat="1" applyFont="1" applyBorder="1" applyAlignment="1">
      <alignment horizontal="right" vertical="center"/>
    </xf>
    <xf numFmtId="165" fontId="8" fillId="0" borderId="5" xfId="3" applyNumberFormat="1" applyFont="1" applyBorder="1" applyAlignment="1">
      <alignment horizontal="right" vertical="center"/>
    </xf>
    <xf numFmtId="165" fontId="9" fillId="0" borderId="5" xfId="3" applyNumberFormat="1" applyFont="1" applyBorder="1" applyAlignment="1">
      <alignment horizontal="right" vertical="center"/>
    </xf>
    <xf numFmtId="165" fontId="8" fillId="0" borderId="5" xfId="4" applyNumberFormat="1" applyFont="1" applyBorder="1" applyAlignment="1"/>
    <xf numFmtId="165" fontId="8" fillId="0" borderId="5" xfId="1" applyNumberFormat="1" applyFont="1" applyBorder="1" applyAlignment="1">
      <alignment horizontal="right" vertical="center" wrapText="1"/>
    </xf>
    <xf numFmtId="165" fontId="8" fillId="2" borderId="5" xfId="0" applyNumberFormat="1" applyFont="1" applyFill="1" applyBorder="1" applyAlignment="1">
      <alignment horizontal="right" vertical="center" wrapText="1"/>
    </xf>
    <xf numFmtId="165" fontId="8" fillId="0" borderId="6" xfId="3" applyNumberFormat="1" applyFont="1" applyBorder="1" applyAlignment="1">
      <alignment horizontal="right" vertical="center"/>
    </xf>
    <xf numFmtId="165" fontId="3" fillId="0" borderId="6" xfId="3" applyNumberFormat="1" applyFont="1" applyBorder="1" applyAlignment="1">
      <alignment horizontal="right" vertical="center"/>
    </xf>
    <xf numFmtId="167" fontId="3" fillId="0" borderId="4" xfId="2" applyNumberFormat="1" applyFont="1" applyBorder="1" applyAlignment="1">
      <alignment vertical="center"/>
    </xf>
    <xf numFmtId="167" fontId="3" fillId="0" borderId="5" xfId="2" applyNumberFormat="1" applyFont="1" applyBorder="1" applyAlignment="1">
      <alignment vertical="center"/>
    </xf>
    <xf numFmtId="167" fontId="8" fillId="0" borderId="5" xfId="2" applyNumberFormat="1" applyFont="1" applyBorder="1" applyAlignment="1">
      <alignment vertical="center"/>
    </xf>
    <xf numFmtId="167" fontId="17" fillId="0" borderId="5" xfId="2" applyNumberFormat="1" applyFont="1" applyBorder="1" applyAlignment="1">
      <alignment vertical="center"/>
    </xf>
    <xf numFmtId="167" fontId="5" fillId="0" borderId="5" xfId="2" applyNumberFormat="1" applyFont="1" applyBorder="1" applyAlignment="1">
      <alignment vertical="center"/>
    </xf>
    <xf numFmtId="167" fontId="5" fillId="0" borderId="6" xfId="2" applyNumberFormat="1" applyFont="1" applyBorder="1" applyAlignment="1">
      <alignment vertical="center"/>
    </xf>
    <xf numFmtId="167" fontId="16" fillId="2" borderId="4" xfId="7" applyNumberFormat="1" applyFont="1" applyFill="1" applyBorder="1" applyAlignment="1">
      <alignment horizontal="right" vertical="center" wrapText="1"/>
    </xf>
    <xf numFmtId="167" fontId="16" fillId="2" borderId="5" xfId="7" applyNumberFormat="1" applyFont="1" applyFill="1" applyBorder="1" applyAlignment="1">
      <alignment horizontal="right" vertical="center" wrapText="1"/>
    </xf>
    <xf numFmtId="167" fontId="10" fillId="2" borderId="5" xfId="7" applyNumberFormat="1" applyFont="1" applyFill="1" applyBorder="1" applyAlignment="1">
      <alignment horizontal="right" vertical="center" wrapText="1"/>
    </xf>
    <xf numFmtId="167" fontId="27" fillId="2" borderId="5" xfId="7" applyNumberFormat="1" applyFont="1" applyFill="1" applyBorder="1" applyAlignment="1">
      <alignment horizontal="right" vertical="center" wrapText="1"/>
    </xf>
    <xf numFmtId="167" fontId="16" fillId="2" borderId="6" xfId="7" applyNumberFormat="1" applyFont="1" applyFill="1" applyBorder="1" applyAlignment="1">
      <alignment horizontal="right" vertical="center" wrapText="1"/>
    </xf>
    <xf numFmtId="167" fontId="3" fillId="0" borderId="4" xfId="3" applyNumberFormat="1" applyFont="1" applyBorder="1" applyAlignment="1">
      <alignment horizontal="right" vertical="center"/>
    </xf>
    <xf numFmtId="167" fontId="3" fillId="0" borderId="5" xfId="3" applyNumberFormat="1" applyFont="1" applyBorder="1" applyAlignment="1">
      <alignment horizontal="right" vertical="center"/>
    </xf>
    <xf numFmtId="167" fontId="8" fillId="0" borderId="5" xfId="3" applyNumberFormat="1" applyFont="1" applyBorder="1" applyAlignment="1">
      <alignment horizontal="right" vertical="center"/>
    </xf>
    <xf numFmtId="167" fontId="9" fillId="0" borderId="5" xfId="3" applyNumberFormat="1" applyFont="1" applyBorder="1" applyAlignment="1">
      <alignment horizontal="right" vertical="center"/>
    </xf>
    <xf numFmtId="167" fontId="8" fillId="0" borderId="6" xfId="3" applyNumberFormat="1" applyFont="1" applyBorder="1" applyAlignment="1">
      <alignment horizontal="right" vertical="center"/>
    </xf>
    <xf numFmtId="0" fontId="9"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vertical="center"/>
    </xf>
    <xf numFmtId="0" fontId="8" fillId="0" borderId="0" xfId="1" applyFont="1" applyAlignment="1">
      <alignment vertical="center"/>
    </xf>
    <xf numFmtId="0" fontId="11" fillId="0" borderId="2" xfId="1" applyFont="1" applyBorder="1" applyAlignment="1">
      <alignment horizontal="center" vertical="center" wrapText="1"/>
    </xf>
    <xf numFmtId="0" fontId="44" fillId="0" borderId="2" xfId="1" applyFont="1" applyBorder="1" applyAlignment="1">
      <alignment horizontal="center" vertical="center" wrapText="1"/>
    </xf>
    <xf numFmtId="0" fontId="11" fillId="0" borderId="22" xfId="1" applyFont="1" applyBorder="1" applyAlignment="1">
      <alignment horizontal="center" vertical="center" wrapText="1"/>
    </xf>
    <xf numFmtId="165" fontId="11" fillId="0" borderId="22" xfId="1" applyNumberFormat="1" applyFont="1" applyBorder="1" applyAlignment="1">
      <alignment horizontal="right" vertical="center" wrapText="1"/>
    </xf>
    <xf numFmtId="167" fontId="11" fillId="0" borderId="22" xfId="1" applyNumberFormat="1" applyFont="1" applyBorder="1" applyAlignment="1">
      <alignment horizontal="right" vertical="center" wrapText="1"/>
    </xf>
    <xf numFmtId="10" fontId="11" fillId="0" borderId="22" xfId="1" applyNumberFormat="1" applyFont="1" applyBorder="1" applyAlignment="1">
      <alignment horizontal="right" vertical="center" wrapText="1"/>
    </xf>
    <xf numFmtId="0" fontId="11" fillId="0" borderId="19" xfId="1" applyFont="1" applyBorder="1" applyAlignment="1">
      <alignment horizontal="center" vertical="center" wrapText="1"/>
    </xf>
    <xf numFmtId="0" fontId="11" fillId="0" borderId="19" xfId="1" applyFont="1" applyBorder="1" applyAlignment="1">
      <alignment horizontal="left" vertical="center" wrapText="1"/>
    </xf>
    <xf numFmtId="165" fontId="11" fillId="0" borderId="19" xfId="1" applyNumberFormat="1" applyFont="1" applyBorder="1" applyAlignment="1">
      <alignment horizontal="right" vertical="center" wrapText="1"/>
    </xf>
    <xf numFmtId="167" fontId="11" fillId="0" borderId="19" xfId="1" applyNumberFormat="1" applyFont="1" applyBorder="1" applyAlignment="1">
      <alignment horizontal="right" vertical="center" wrapText="1"/>
    </xf>
    <xf numFmtId="10" fontId="11" fillId="0" borderId="19" xfId="1" applyNumberFormat="1" applyFont="1" applyBorder="1" applyAlignment="1">
      <alignment horizontal="right" vertical="center" wrapText="1"/>
    </xf>
    <xf numFmtId="0" fontId="44" fillId="0" borderId="19" xfId="1" quotePrefix="1" applyFont="1" applyBorder="1" applyAlignment="1">
      <alignment horizontal="center" vertical="center" wrapText="1"/>
    </xf>
    <xf numFmtId="0" fontId="44" fillId="0" borderId="19" xfId="1" applyFont="1" applyBorder="1" applyAlignment="1">
      <alignment horizontal="left" vertical="center" wrapText="1"/>
    </xf>
    <xf numFmtId="165" fontId="44" fillId="0" borderId="19" xfId="1" applyNumberFormat="1" applyFont="1" applyBorder="1" applyAlignment="1">
      <alignment horizontal="right" vertical="center" wrapText="1"/>
    </xf>
    <xf numFmtId="167" fontId="44" fillId="0" borderId="19" xfId="1" applyNumberFormat="1" applyFont="1" applyBorder="1" applyAlignment="1">
      <alignment horizontal="right" vertical="center" wrapText="1"/>
    </xf>
    <xf numFmtId="10" fontId="44" fillId="0" borderId="19" xfId="1" applyNumberFormat="1" applyFont="1" applyBorder="1" applyAlignment="1">
      <alignment horizontal="right" vertical="center" wrapText="1"/>
    </xf>
    <xf numFmtId="0" fontId="44" fillId="0" borderId="20" xfId="1" applyFont="1" applyBorder="1" applyAlignment="1">
      <alignment horizontal="center" vertical="center" wrapText="1"/>
    </xf>
    <xf numFmtId="0" fontId="44" fillId="0" borderId="20" xfId="1" applyFont="1" applyBorder="1" applyAlignment="1">
      <alignment horizontal="left" vertical="center" wrapText="1"/>
    </xf>
    <xf numFmtId="165" fontId="44" fillId="0" borderId="20" xfId="1" applyNumberFormat="1" applyFont="1" applyBorder="1" applyAlignment="1">
      <alignment horizontal="right" vertical="center" wrapText="1"/>
    </xf>
    <xf numFmtId="165" fontId="45" fillId="0" borderId="20" xfId="1" applyNumberFormat="1" applyFont="1" applyBorder="1" applyAlignment="1">
      <alignment horizontal="right" vertical="center" wrapText="1"/>
    </xf>
    <xf numFmtId="10" fontId="44" fillId="0" borderId="20" xfId="1" applyNumberFormat="1" applyFont="1" applyBorder="1" applyAlignment="1">
      <alignment horizontal="right" vertical="center" wrapText="1"/>
    </xf>
    <xf numFmtId="167" fontId="44" fillId="0" borderId="20" xfId="1" applyNumberFormat="1" applyFont="1" applyBorder="1" applyAlignment="1">
      <alignment horizontal="right" vertical="center" wrapText="1"/>
    </xf>
    <xf numFmtId="165" fontId="32" fillId="0" borderId="19" xfId="1" applyNumberFormat="1" applyFont="1" applyBorder="1" applyAlignment="1">
      <alignment horizontal="right" vertical="center" wrapText="1"/>
    </xf>
    <xf numFmtId="0" fontId="31" fillId="0" borderId="2" xfId="1" applyFont="1" applyBorder="1" applyAlignment="1">
      <alignment horizontal="center" vertical="center" textRotation="180" wrapText="1"/>
    </xf>
    <xf numFmtId="0" fontId="31" fillId="0" borderId="2" xfId="1" applyFont="1" applyBorder="1" applyAlignment="1">
      <alignment horizontal="center" vertical="center" wrapText="1"/>
    </xf>
    <xf numFmtId="0" fontId="31" fillId="0" borderId="22" xfId="1" applyFont="1" applyBorder="1" applyAlignment="1">
      <alignment vertical="center" wrapText="1"/>
    </xf>
    <xf numFmtId="0" fontId="31" fillId="0" borderId="22" xfId="1" applyFont="1" applyBorder="1" applyAlignment="1">
      <alignment horizontal="center" vertical="center" wrapText="1"/>
    </xf>
    <xf numFmtId="165" fontId="31" fillId="0" borderId="22" xfId="1" applyNumberFormat="1" applyFont="1" applyBorder="1" applyAlignment="1">
      <alignment horizontal="right" vertical="center" wrapText="1"/>
    </xf>
    <xf numFmtId="167" fontId="31" fillId="0" borderId="22" xfId="1" applyNumberFormat="1" applyFont="1" applyBorder="1" applyAlignment="1">
      <alignment horizontal="right" vertical="center" wrapText="1"/>
    </xf>
    <xf numFmtId="0" fontId="31" fillId="0" borderId="0" xfId="1" applyFont="1"/>
    <xf numFmtId="0" fontId="32" fillId="0" borderId="19" xfId="1" applyFont="1" applyBorder="1" applyAlignment="1">
      <alignment horizontal="center" vertical="center" wrapText="1"/>
    </xf>
    <xf numFmtId="0" fontId="32" fillId="0" borderId="19" xfId="1" applyFont="1" applyBorder="1" applyAlignment="1">
      <alignment horizontal="left" vertical="center" wrapText="1"/>
    </xf>
    <xf numFmtId="167" fontId="32" fillId="0" borderId="19" xfId="1" applyNumberFormat="1" applyFont="1" applyBorder="1" applyAlignment="1">
      <alignment horizontal="right" vertical="center" wrapText="1"/>
    </xf>
    <xf numFmtId="0" fontId="32" fillId="0" borderId="20" xfId="1" applyFont="1" applyBorder="1" applyAlignment="1">
      <alignment horizontal="center" vertical="center" wrapText="1"/>
    </xf>
    <xf numFmtId="0" fontId="32" fillId="0" borderId="20" xfId="1" applyFont="1" applyBorder="1" applyAlignment="1">
      <alignment horizontal="left" vertical="center" wrapText="1"/>
    </xf>
    <xf numFmtId="165" fontId="32" fillId="0" borderId="20" xfId="1" applyNumberFormat="1" applyFont="1" applyBorder="1" applyAlignment="1">
      <alignment horizontal="right" vertical="center" wrapText="1"/>
    </xf>
    <xf numFmtId="167" fontId="32" fillId="0" borderId="20" xfId="1" applyNumberFormat="1" applyFont="1" applyBorder="1" applyAlignment="1">
      <alignment horizontal="right" vertical="center" wrapText="1"/>
    </xf>
    <xf numFmtId="0" fontId="34" fillId="0" borderId="0" xfId="1" applyFont="1" applyBorder="1" applyAlignment="1">
      <alignment vertical="center"/>
    </xf>
    <xf numFmtId="0" fontId="32" fillId="0" borderId="0" xfId="1" applyFont="1" applyBorder="1" applyAlignment="1">
      <alignment vertical="center" wrapText="1"/>
    </xf>
    <xf numFmtId="0" fontId="31" fillId="0" borderId="25" xfId="1" applyFont="1" applyBorder="1" applyAlignment="1">
      <alignment horizontal="center" vertical="center" wrapText="1"/>
    </xf>
    <xf numFmtId="0" fontId="31" fillId="0" borderId="25" xfId="1" quotePrefix="1" applyFont="1" applyBorder="1" applyAlignment="1">
      <alignment horizontal="center" vertical="center" wrapText="1"/>
    </xf>
    <xf numFmtId="167" fontId="31" fillId="0" borderId="22" xfId="1" applyNumberFormat="1" applyFont="1" applyBorder="1" applyAlignment="1">
      <alignment vertical="center" wrapText="1"/>
    </xf>
    <xf numFmtId="167" fontId="32" fillId="0" borderId="19" xfId="1" applyNumberFormat="1" applyFont="1" applyBorder="1" applyAlignment="1">
      <alignment vertical="center" wrapText="1"/>
    </xf>
    <xf numFmtId="165" fontId="32" fillId="0" borderId="23" xfId="1" applyNumberFormat="1" applyFont="1" applyBorder="1" applyAlignment="1">
      <alignment horizontal="right" vertical="center" wrapText="1"/>
    </xf>
    <xf numFmtId="167" fontId="32" fillId="0" borderId="23" xfId="1" applyNumberFormat="1" applyFont="1" applyBorder="1" applyAlignment="1">
      <alignment vertical="center" wrapText="1"/>
    </xf>
    <xf numFmtId="0" fontId="32" fillId="0" borderId="0" xfId="1" applyFont="1" applyBorder="1" applyAlignment="1">
      <alignment horizontal="left" vertical="center" wrapText="1"/>
    </xf>
    <xf numFmtId="3" fontId="32" fillId="0" borderId="0" xfId="1" applyNumberFormat="1" applyFont="1" applyBorder="1" applyAlignment="1">
      <alignment horizontal="right" vertical="center" wrapText="1"/>
    </xf>
    <xf numFmtId="0" fontId="32" fillId="0" borderId="0" xfId="1" applyFont="1" applyBorder="1" applyAlignment="1">
      <alignment vertical="center"/>
    </xf>
    <xf numFmtId="0" fontId="47" fillId="2" borderId="21" xfId="1" applyFont="1" applyFill="1" applyBorder="1" applyAlignment="1">
      <alignment horizontal="center" vertical="center" wrapText="1"/>
    </xf>
    <xf numFmtId="0" fontId="11" fillId="2" borderId="29" xfId="1" applyFont="1" applyFill="1" applyBorder="1" applyAlignment="1">
      <alignment horizontal="center" vertical="center" wrapText="1"/>
    </xf>
    <xf numFmtId="0" fontId="47" fillId="2" borderId="29" xfId="1" applyFont="1" applyFill="1" applyBorder="1" applyAlignment="1">
      <alignment horizontal="center" vertical="center" wrapText="1"/>
    </xf>
    <xf numFmtId="165" fontId="47" fillId="2" borderId="29" xfId="1" applyNumberFormat="1" applyFont="1" applyFill="1" applyBorder="1" applyAlignment="1">
      <alignment horizontal="right" vertical="center" wrapText="1"/>
    </xf>
    <xf numFmtId="167" fontId="47" fillId="2" borderId="29" xfId="1" applyNumberFormat="1" applyFont="1" applyFill="1" applyBorder="1" applyAlignment="1">
      <alignment horizontal="right" vertical="center" wrapText="1"/>
    </xf>
    <xf numFmtId="0" fontId="47" fillId="2" borderId="19" xfId="1" applyFont="1" applyFill="1" applyBorder="1" applyAlignment="1">
      <alignment horizontal="center" vertical="center" wrapText="1"/>
    </xf>
    <xf numFmtId="0" fontId="47" fillId="2" borderId="19" xfId="1" applyFont="1" applyFill="1" applyBorder="1" applyAlignment="1">
      <alignment horizontal="left" vertical="center" wrapText="1"/>
    </xf>
    <xf numFmtId="165" fontId="47" fillId="2" borderId="19" xfId="1" applyNumberFormat="1" applyFont="1" applyFill="1" applyBorder="1" applyAlignment="1">
      <alignment horizontal="right" vertical="center" wrapText="1"/>
    </xf>
    <xf numFmtId="167" fontId="47" fillId="2" borderId="19" xfId="1" applyNumberFormat="1" applyFont="1" applyFill="1" applyBorder="1" applyAlignment="1">
      <alignment horizontal="right" vertical="center" wrapText="1"/>
    </xf>
    <xf numFmtId="0" fontId="48" fillId="2" borderId="19" xfId="1" applyFont="1" applyFill="1" applyBorder="1" applyAlignment="1">
      <alignment horizontal="center" vertical="center" wrapText="1"/>
    </xf>
    <xf numFmtId="0" fontId="48" fillId="2" borderId="19" xfId="1" applyFont="1" applyFill="1" applyBorder="1" applyAlignment="1">
      <alignment horizontal="left" vertical="center" wrapText="1"/>
    </xf>
    <xf numFmtId="165" fontId="48" fillId="2" borderId="19" xfId="1" applyNumberFormat="1" applyFont="1" applyFill="1" applyBorder="1" applyAlignment="1">
      <alignment horizontal="right" vertical="center" wrapText="1"/>
    </xf>
    <xf numFmtId="167" fontId="48" fillId="2" borderId="19" xfId="1" applyNumberFormat="1" applyFont="1" applyFill="1" applyBorder="1" applyAlignment="1">
      <alignment horizontal="right" vertical="center" wrapText="1"/>
    </xf>
    <xf numFmtId="165" fontId="48" fillId="3" borderId="5" xfId="0" quotePrefix="1" applyNumberFormat="1" applyFont="1" applyFill="1" applyBorder="1" applyAlignment="1">
      <alignment horizontal="right" vertical="center" wrapText="1"/>
    </xf>
    <xf numFmtId="165" fontId="48" fillId="0" borderId="19" xfId="0" applyNumberFormat="1" applyFont="1" applyBorder="1" applyAlignment="1">
      <alignment vertical="center"/>
    </xf>
    <xf numFmtId="165" fontId="48" fillId="3" borderId="19" xfId="0" quotePrefix="1" applyNumberFormat="1" applyFont="1" applyFill="1" applyBorder="1" applyAlignment="1">
      <alignment horizontal="right" vertical="center" wrapText="1"/>
    </xf>
    <xf numFmtId="0" fontId="48" fillId="2" borderId="20" xfId="1" quotePrefix="1" applyFont="1" applyFill="1" applyBorder="1" applyAlignment="1">
      <alignment horizontal="center" vertical="center" wrapText="1"/>
    </xf>
    <xf numFmtId="0" fontId="48" fillId="2" borderId="20" xfId="1" applyFont="1" applyFill="1" applyBorder="1" applyAlignment="1">
      <alignment horizontal="left" vertical="center" wrapText="1"/>
    </xf>
    <xf numFmtId="165" fontId="48" fillId="2" borderId="20" xfId="1" applyNumberFormat="1" applyFont="1" applyFill="1" applyBorder="1" applyAlignment="1">
      <alignment horizontal="right" vertical="center" wrapText="1"/>
    </xf>
    <xf numFmtId="165" fontId="48" fillId="2" borderId="23" xfId="1" applyNumberFormat="1" applyFont="1" applyFill="1" applyBorder="1" applyAlignment="1">
      <alignment horizontal="right" vertical="center" wrapText="1"/>
    </xf>
    <xf numFmtId="167" fontId="48" fillId="2" borderId="20" xfId="1" applyNumberFormat="1" applyFont="1" applyFill="1" applyBorder="1" applyAlignment="1">
      <alignment horizontal="right" vertical="center" wrapText="1"/>
    </xf>
    <xf numFmtId="0" fontId="48" fillId="2" borderId="0" xfId="1" quotePrefix="1" applyFont="1" applyFill="1" applyBorder="1" applyAlignment="1">
      <alignment horizontal="center" vertical="center" wrapText="1"/>
    </xf>
    <xf numFmtId="0" fontId="48" fillId="2" borderId="0" xfId="1" applyFont="1" applyFill="1" applyBorder="1" applyAlignment="1">
      <alignment horizontal="left" vertical="center" wrapText="1"/>
    </xf>
    <xf numFmtId="3" fontId="48" fillId="2" borderId="0" xfId="1" applyNumberFormat="1" applyFont="1" applyFill="1" applyBorder="1" applyAlignment="1">
      <alignment horizontal="right" vertical="center" wrapText="1"/>
    </xf>
    <xf numFmtId="0" fontId="48" fillId="2" borderId="0" xfId="1" applyFont="1" applyFill="1" applyBorder="1" applyAlignment="1">
      <alignment horizontal="center" vertical="center"/>
    </xf>
    <xf numFmtId="0" fontId="48" fillId="2" borderId="0" xfId="1" applyFont="1" applyFill="1" applyBorder="1" applyAlignment="1">
      <alignment horizontal="left" vertical="center"/>
    </xf>
    <xf numFmtId="3" fontId="48" fillId="2" borderId="0" xfId="1" applyNumberFormat="1" applyFont="1" applyFill="1" applyBorder="1" applyAlignment="1">
      <alignment horizontal="right" vertical="center"/>
    </xf>
    <xf numFmtId="3" fontId="44" fillId="0" borderId="0" xfId="1" applyNumberFormat="1" applyFont="1" applyAlignment="1">
      <alignment vertical="center"/>
    </xf>
    <xf numFmtId="0" fontId="14" fillId="0" borderId="0" xfId="2" applyFont="1" applyAlignment="1">
      <alignment horizontal="left"/>
    </xf>
    <xf numFmtId="0" fontId="22" fillId="0" borderId="0" xfId="2" applyFont="1" applyAlignment="1">
      <alignment horizontal="center"/>
    </xf>
    <xf numFmtId="0" fontId="19" fillId="0" borderId="0" xfId="3" applyFont="1" applyAlignment="1">
      <alignment horizontal="center"/>
    </xf>
    <xf numFmtId="0" fontId="9" fillId="0" borderId="0" xfId="2" applyFont="1" applyBorder="1" applyAlignment="1">
      <alignment horizontal="right"/>
    </xf>
    <xf numFmtId="0" fontId="3" fillId="0" borderId="3" xfId="2" applyFont="1" applyBorder="1" applyAlignment="1">
      <alignment horizontal="center" vertical="center" wrapText="1"/>
    </xf>
    <xf numFmtId="0" fontId="3" fillId="0" borderId="3" xfId="2" applyFont="1" applyBorder="1" applyAlignment="1">
      <alignment horizontal="center" vertical="center"/>
    </xf>
    <xf numFmtId="0" fontId="24" fillId="0" borderId="0" xfId="2" applyFont="1" applyBorder="1" applyAlignment="1">
      <alignment vertical="center" wrapText="1"/>
    </xf>
    <xf numFmtId="0" fontId="9" fillId="0" borderId="0" xfId="2" applyFont="1" applyAlignment="1">
      <alignment horizontal="left"/>
    </xf>
    <xf numFmtId="0" fontId="7" fillId="0" borderId="0" xfId="3" applyFont="1" applyAlignment="1">
      <alignment horizontal="center" vertical="center"/>
    </xf>
    <xf numFmtId="0" fontId="9" fillId="0" borderId="0" xfId="3" applyFont="1" applyAlignment="1">
      <alignment horizontal="center"/>
    </xf>
    <xf numFmtId="0" fontId="3" fillId="0" borderId="3" xfId="3" applyFont="1" applyBorder="1" applyAlignment="1">
      <alignment horizontal="center" vertical="center" wrapText="1"/>
    </xf>
    <xf numFmtId="0" fontId="3" fillId="0" borderId="3" xfId="3" quotePrefix="1" applyFont="1" applyBorder="1" applyAlignment="1">
      <alignment horizontal="center" vertical="center"/>
    </xf>
    <xf numFmtId="0" fontId="3" fillId="0" borderId="3" xfId="3" applyFont="1" applyBorder="1" applyAlignment="1">
      <alignment horizontal="center" vertical="center"/>
    </xf>
    <xf numFmtId="0" fontId="9" fillId="0" borderId="0" xfId="3" applyFont="1" applyAlignment="1">
      <alignment horizontal="center" vertical="center"/>
    </xf>
    <xf numFmtId="0" fontId="9" fillId="0" borderId="24" xfId="3" applyFont="1" applyBorder="1" applyAlignment="1">
      <alignment horizontal="center" vertical="center"/>
    </xf>
    <xf numFmtId="0" fontId="7" fillId="2" borderId="0" xfId="7" applyFont="1" applyFill="1" applyAlignment="1">
      <alignment horizontal="center" vertical="center" wrapText="1"/>
    </xf>
    <xf numFmtId="0" fontId="9" fillId="2" borderId="0" xfId="7" applyFont="1" applyFill="1" applyAlignment="1">
      <alignment horizontal="center" vertical="center" wrapText="1"/>
    </xf>
    <xf numFmtId="0" fontId="27" fillId="2" borderId="0" xfId="7" applyFont="1" applyFill="1" applyAlignment="1">
      <alignment horizontal="right" vertical="center" wrapText="1"/>
    </xf>
    <xf numFmtId="0" fontId="10" fillId="0" borderId="0" xfId="7" applyFont="1" applyAlignment="1">
      <alignment horizontal="left" vertical="center" wrapText="1"/>
    </xf>
    <xf numFmtId="0" fontId="14" fillId="0" borderId="0" xfId="0" applyFont="1" applyAlignment="1">
      <alignment horizontal="left" vertical="center" wrapText="1"/>
    </xf>
    <xf numFmtId="3" fontId="16" fillId="0" borderId="0" xfId="1" applyNumberFormat="1" applyFont="1" applyAlignment="1">
      <alignment horizontal="center" wrapText="1"/>
    </xf>
    <xf numFmtId="0" fontId="27" fillId="0" borderId="0" xfId="1" applyFont="1" applyAlignment="1">
      <alignment horizontal="left" vertical="top" wrapText="1"/>
    </xf>
    <xf numFmtId="0" fontId="3" fillId="0" borderId="0" xfId="1" applyFont="1" applyAlignment="1">
      <alignment horizontal="center" vertical="top"/>
    </xf>
    <xf numFmtId="0" fontId="9" fillId="0" borderId="0" xfId="1" applyFont="1" applyAlignment="1">
      <alignment horizontal="center" vertical="center"/>
    </xf>
    <xf numFmtId="0" fontId="16" fillId="2" borderId="3" xfId="1" applyFont="1" applyFill="1" applyBorder="1" applyAlignment="1">
      <alignment horizontal="center" vertical="center" wrapText="1"/>
    </xf>
    <xf numFmtId="0" fontId="27" fillId="2" borderId="0" xfId="1" applyFont="1" applyFill="1" applyAlignment="1">
      <alignment horizontal="left" vertical="top" wrapText="1"/>
    </xf>
    <xf numFmtId="0" fontId="22" fillId="0" borderId="0" xfId="1" applyFont="1" applyAlignment="1">
      <alignment horizontal="center" vertical="top" wrapText="1"/>
    </xf>
    <xf numFmtId="0" fontId="40" fillId="2" borderId="0" xfId="1" applyFont="1" applyFill="1" applyAlignment="1">
      <alignment horizontal="center" vertical="center"/>
    </xf>
    <xf numFmtId="0" fontId="27" fillId="0" borderId="0" xfId="1" applyFont="1" applyAlignment="1">
      <alignment horizontal="center" vertical="center"/>
    </xf>
    <xf numFmtId="0" fontId="49" fillId="0" borderId="0" xfId="1" applyFont="1" applyAlignment="1">
      <alignment horizontal="justify" vertical="center"/>
    </xf>
    <xf numFmtId="0" fontId="47" fillId="2" borderId="2" xfId="1" applyFont="1" applyFill="1" applyBorder="1" applyAlignment="1">
      <alignment horizontal="center" vertical="center" wrapText="1"/>
    </xf>
    <xf numFmtId="0" fontId="47" fillId="2" borderId="25" xfId="1" applyFont="1" applyFill="1" applyBorder="1" applyAlignment="1">
      <alignment horizontal="center" vertical="center" wrapText="1"/>
    </xf>
    <xf numFmtId="0" fontId="47" fillId="2" borderId="31" xfId="1" applyFont="1" applyFill="1" applyBorder="1" applyAlignment="1">
      <alignment horizontal="center" vertical="center" wrapText="1"/>
    </xf>
    <xf numFmtId="0" fontId="47" fillId="2" borderId="32" xfId="1" applyFont="1" applyFill="1" applyBorder="1" applyAlignment="1">
      <alignment horizontal="center" vertical="center" wrapText="1"/>
    </xf>
    <xf numFmtId="0" fontId="14" fillId="0" borderId="1" xfId="1" applyFont="1" applyBorder="1" applyAlignment="1">
      <alignment horizontal="center" vertical="center"/>
    </xf>
    <xf numFmtId="0" fontId="3" fillId="0" borderId="0" xfId="1" applyFont="1" applyAlignment="1">
      <alignment horizontal="center" vertical="center"/>
    </xf>
    <xf numFmtId="0" fontId="47" fillId="2" borderId="26" xfId="1" applyFont="1" applyFill="1" applyBorder="1" applyAlignment="1">
      <alignment horizontal="center" vertical="center" wrapText="1"/>
    </xf>
    <xf numFmtId="0" fontId="47" fillId="2" borderId="27" xfId="1" applyFont="1" applyFill="1" applyBorder="1" applyAlignment="1">
      <alignment horizontal="center" vertical="center" wrapText="1"/>
    </xf>
    <xf numFmtId="0" fontId="47" fillId="2" borderId="28" xfId="1" applyFont="1" applyFill="1" applyBorder="1" applyAlignment="1">
      <alignment horizontal="center" vertical="center" wrapText="1"/>
    </xf>
    <xf numFmtId="0" fontId="32" fillId="0" borderId="0" xfId="1" applyFont="1" applyBorder="1" applyAlignment="1">
      <alignment horizontal="center" vertical="center"/>
    </xf>
    <xf numFmtId="0" fontId="31" fillId="0" borderId="2" xfId="1" applyFont="1" applyBorder="1" applyAlignment="1">
      <alignment horizontal="center" vertical="center" wrapText="1"/>
    </xf>
    <xf numFmtId="0" fontId="31" fillId="0" borderId="25" xfId="1" applyFont="1" applyBorder="1" applyAlignment="1">
      <alignment horizontal="center" vertical="center" wrapText="1"/>
    </xf>
    <xf numFmtId="0" fontId="31" fillId="0" borderId="31" xfId="1" applyFont="1" applyBorder="1" applyAlignment="1">
      <alignment horizontal="center" vertical="center" wrapText="1"/>
    </xf>
    <xf numFmtId="0" fontId="31" fillId="0" borderId="32" xfId="1" applyFont="1" applyBorder="1" applyAlignment="1">
      <alignment horizontal="center" vertical="center" wrapText="1"/>
    </xf>
    <xf numFmtId="0" fontId="33" fillId="0" borderId="0" xfId="1" applyFont="1" applyAlignment="1">
      <alignment horizontal="center" vertical="center"/>
    </xf>
    <xf numFmtId="0" fontId="35" fillId="0" borderId="0" xfId="1" applyFont="1" applyAlignment="1">
      <alignment horizontal="center" vertical="center"/>
    </xf>
    <xf numFmtId="0" fontId="31" fillId="0" borderId="26" xfId="1" applyFont="1" applyBorder="1" applyAlignment="1">
      <alignment horizontal="center" vertical="center" wrapText="1"/>
    </xf>
    <xf numFmtId="0" fontId="31" fillId="0" borderId="27" xfId="1" applyFont="1" applyBorder="1" applyAlignment="1">
      <alignment horizontal="center" vertical="center" wrapText="1"/>
    </xf>
    <xf numFmtId="0" fontId="31" fillId="0" borderId="28" xfId="1" applyFont="1" applyBorder="1" applyAlignment="1">
      <alignment horizontal="center" vertical="center" wrapText="1"/>
    </xf>
    <xf numFmtId="0" fontId="52" fillId="0" borderId="0" xfId="1" applyFont="1" applyBorder="1" applyAlignment="1">
      <alignment horizontal="center" vertical="center" wrapText="1"/>
    </xf>
    <xf numFmtId="0" fontId="52" fillId="0" borderId="1" xfId="1" applyFont="1" applyBorder="1" applyAlignment="1">
      <alignment horizontal="center" vertical="center" wrapText="1"/>
    </xf>
    <xf numFmtId="0" fontId="32" fillId="0" borderId="0" xfId="1" applyFont="1" applyAlignment="1">
      <alignment horizontal="left" indent="1"/>
    </xf>
    <xf numFmtId="0" fontId="54" fillId="0" borderId="2" xfId="1" applyFont="1" applyBorder="1" applyAlignment="1">
      <alignment horizontal="center" vertical="center" wrapText="1"/>
    </xf>
    <xf numFmtId="0" fontId="36" fillId="0" borderId="0" xfId="1" applyFont="1" applyAlignment="1">
      <alignment horizontal="center" vertical="top"/>
    </xf>
    <xf numFmtId="0" fontId="35" fillId="0" borderId="0" xfId="1" applyFont="1" applyAlignment="1">
      <alignment horizontal="center" vertical="top"/>
    </xf>
    <xf numFmtId="0" fontId="34" fillId="0" borderId="1" xfId="1" applyFont="1" applyBorder="1" applyAlignment="1">
      <alignment horizontal="right" vertical="top" wrapText="1"/>
    </xf>
    <xf numFmtId="0" fontId="31" fillId="0" borderId="26" xfId="1" applyFont="1" applyBorder="1" applyAlignment="1">
      <alignment horizontal="center" vertical="center"/>
    </xf>
    <xf numFmtId="0" fontId="31" fillId="0" borderId="28" xfId="1" applyFont="1" applyBorder="1" applyAlignment="1">
      <alignment horizontal="center" vertical="center"/>
    </xf>
    <xf numFmtId="0" fontId="31" fillId="0" borderId="27" xfId="1" applyFont="1" applyBorder="1" applyAlignment="1">
      <alignment horizontal="center" vertical="center"/>
    </xf>
    <xf numFmtId="0" fontId="11" fillId="0" borderId="2" xfId="1" applyFont="1" applyBorder="1" applyAlignment="1">
      <alignment horizontal="center" vertical="center" wrapText="1"/>
    </xf>
    <xf numFmtId="0" fontId="8" fillId="0" borderId="0" xfId="1" applyFont="1" applyAlignment="1">
      <alignment horizontal="center" vertical="center"/>
    </xf>
    <xf numFmtId="0" fontId="11" fillId="0" borderId="2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2" xfId="1" applyFont="1" applyBorder="1" applyAlignment="1">
      <alignment horizontal="center" vertical="center" wrapText="1"/>
    </xf>
    <xf numFmtId="0" fontId="11" fillId="0" borderId="27" xfId="1" applyFont="1" applyBorder="1" applyAlignment="1">
      <alignment horizontal="center" vertical="center" wrapText="1"/>
    </xf>
    <xf numFmtId="0" fontId="11" fillId="0" borderId="28" xfId="1" applyFont="1" applyBorder="1" applyAlignment="1">
      <alignment horizontal="center" vertical="center" wrapText="1"/>
    </xf>
    <xf numFmtId="0" fontId="44" fillId="0" borderId="0" xfId="1" applyFont="1" applyAlignment="1">
      <alignment horizontal="left" vertical="center"/>
    </xf>
    <xf numFmtId="0" fontId="11" fillId="0" borderId="26" xfId="1" applyFont="1" applyBorder="1" applyAlignment="1">
      <alignment horizontal="center" vertical="center" wrapText="1"/>
    </xf>
    <xf numFmtId="0" fontId="3" fillId="0" borderId="0" xfId="1" applyFont="1" applyAlignment="1">
      <alignment vertical="center"/>
    </xf>
    <xf numFmtId="0" fontId="8" fillId="0" borderId="0" xfId="1" applyFont="1" applyAlignment="1">
      <alignment vertical="center"/>
    </xf>
    <xf numFmtId="0" fontId="45" fillId="0" borderId="1" xfId="1" applyFont="1" applyBorder="1" applyAlignment="1">
      <alignment horizontal="center" vertical="center"/>
    </xf>
  </cellXfs>
  <cellStyles count="8">
    <cellStyle name="Comma 10 2" xfId="5"/>
    <cellStyle name="Comma 2" xfId="4"/>
    <cellStyle name="Normal" xfId="0" builtinId="0"/>
    <cellStyle name="Normal 2" xfId="1"/>
    <cellStyle name="Normal 2 2" xfId="3"/>
    <cellStyle name="Normal 3" xfId="2"/>
    <cellStyle name="Normal 4" xfId="7"/>
    <cellStyle name="Normal 8"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showZeros="0" tabSelected="1" view="pageBreakPreview" zoomScaleNormal="100" zoomScaleSheetLayoutView="100" workbookViewId="0">
      <selection activeCell="C10" sqref="C10"/>
    </sheetView>
  </sheetViews>
  <sheetFormatPr defaultRowHeight="15.75"/>
  <cols>
    <col min="1" max="1" width="5.85546875" style="5" customWidth="1"/>
    <col min="2" max="2" width="46.140625" style="5" customWidth="1"/>
    <col min="3" max="3" width="21.28515625" style="5" customWidth="1"/>
    <col min="4" max="4" width="21.85546875" style="5" customWidth="1"/>
    <col min="5" max="5" width="18.85546875" style="5" customWidth="1"/>
    <col min="6" max="6" width="14.5703125" style="5" customWidth="1"/>
    <col min="7" max="256" width="9.140625" style="5"/>
    <col min="257" max="257" width="5.85546875" style="5" customWidth="1"/>
    <col min="258" max="258" width="45" style="5" customWidth="1"/>
    <col min="259" max="259" width="20.7109375" style="5" customWidth="1"/>
    <col min="260" max="260" width="21.85546875" style="5" customWidth="1"/>
    <col min="261" max="261" width="19" style="5" customWidth="1"/>
    <col min="262" max="262" width="13" style="5" customWidth="1"/>
    <col min="263" max="512" width="9.140625" style="5"/>
    <col min="513" max="513" width="5.85546875" style="5" customWidth="1"/>
    <col min="514" max="514" width="45" style="5" customWidth="1"/>
    <col min="515" max="515" width="20.7109375" style="5" customWidth="1"/>
    <col min="516" max="516" width="21.85546875" style="5" customWidth="1"/>
    <col min="517" max="517" width="19" style="5" customWidth="1"/>
    <col min="518" max="518" width="13" style="5" customWidth="1"/>
    <col min="519" max="768" width="9.140625" style="5"/>
    <col min="769" max="769" width="5.85546875" style="5" customWidth="1"/>
    <col min="770" max="770" width="45" style="5" customWidth="1"/>
    <col min="771" max="771" width="20.7109375" style="5" customWidth="1"/>
    <col min="772" max="772" width="21.85546875" style="5" customWidth="1"/>
    <col min="773" max="773" width="19" style="5" customWidth="1"/>
    <col min="774" max="774" width="13" style="5" customWidth="1"/>
    <col min="775" max="1024" width="9.140625" style="5"/>
    <col min="1025" max="1025" width="5.85546875" style="5" customWidth="1"/>
    <col min="1026" max="1026" width="45" style="5" customWidth="1"/>
    <col min="1027" max="1027" width="20.7109375" style="5" customWidth="1"/>
    <col min="1028" max="1028" width="21.85546875" style="5" customWidth="1"/>
    <col min="1029" max="1029" width="19" style="5" customWidth="1"/>
    <col min="1030" max="1030" width="13" style="5" customWidth="1"/>
    <col min="1031" max="1280" width="9.140625" style="5"/>
    <col min="1281" max="1281" width="5.85546875" style="5" customWidth="1"/>
    <col min="1282" max="1282" width="45" style="5" customWidth="1"/>
    <col min="1283" max="1283" width="20.7109375" style="5" customWidth="1"/>
    <col min="1284" max="1284" width="21.85546875" style="5" customWidth="1"/>
    <col min="1285" max="1285" width="19" style="5" customWidth="1"/>
    <col min="1286" max="1286" width="13" style="5" customWidth="1"/>
    <col min="1287" max="1536" width="9.140625" style="5"/>
    <col min="1537" max="1537" width="5.85546875" style="5" customWidth="1"/>
    <col min="1538" max="1538" width="45" style="5" customWidth="1"/>
    <col min="1539" max="1539" width="20.7109375" style="5" customWidth="1"/>
    <col min="1540" max="1540" width="21.85546875" style="5" customWidth="1"/>
    <col min="1541" max="1541" width="19" style="5" customWidth="1"/>
    <col min="1542" max="1542" width="13" style="5" customWidth="1"/>
    <col min="1543" max="1792" width="9.140625" style="5"/>
    <col min="1793" max="1793" width="5.85546875" style="5" customWidth="1"/>
    <col min="1794" max="1794" width="45" style="5" customWidth="1"/>
    <col min="1795" max="1795" width="20.7109375" style="5" customWidth="1"/>
    <col min="1796" max="1796" width="21.85546875" style="5" customWidth="1"/>
    <col min="1797" max="1797" width="19" style="5" customWidth="1"/>
    <col min="1798" max="1798" width="13" style="5" customWidth="1"/>
    <col min="1799" max="2048" width="9.140625" style="5"/>
    <col min="2049" max="2049" width="5.85546875" style="5" customWidth="1"/>
    <col min="2050" max="2050" width="45" style="5" customWidth="1"/>
    <col min="2051" max="2051" width="20.7109375" style="5" customWidth="1"/>
    <col min="2052" max="2052" width="21.85546875" style="5" customWidth="1"/>
    <col min="2053" max="2053" width="19" style="5" customWidth="1"/>
    <col min="2054" max="2054" width="13" style="5" customWidth="1"/>
    <col min="2055" max="2304" width="9.140625" style="5"/>
    <col min="2305" max="2305" width="5.85546875" style="5" customWidth="1"/>
    <col min="2306" max="2306" width="45" style="5" customWidth="1"/>
    <col min="2307" max="2307" width="20.7109375" style="5" customWidth="1"/>
    <col min="2308" max="2308" width="21.85546875" style="5" customWidth="1"/>
    <col min="2309" max="2309" width="19" style="5" customWidth="1"/>
    <col min="2310" max="2310" width="13" style="5" customWidth="1"/>
    <col min="2311" max="2560" width="9.140625" style="5"/>
    <col min="2561" max="2561" width="5.85546875" style="5" customWidth="1"/>
    <col min="2562" max="2562" width="45" style="5" customWidth="1"/>
    <col min="2563" max="2563" width="20.7109375" style="5" customWidth="1"/>
    <col min="2564" max="2564" width="21.85546875" style="5" customWidth="1"/>
    <col min="2565" max="2565" width="19" style="5" customWidth="1"/>
    <col min="2566" max="2566" width="13" style="5" customWidth="1"/>
    <col min="2567" max="2816" width="9.140625" style="5"/>
    <col min="2817" max="2817" width="5.85546875" style="5" customWidth="1"/>
    <col min="2818" max="2818" width="45" style="5" customWidth="1"/>
    <col min="2819" max="2819" width="20.7109375" style="5" customWidth="1"/>
    <col min="2820" max="2820" width="21.85546875" style="5" customWidth="1"/>
    <col min="2821" max="2821" width="19" style="5" customWidth="1"/>
    <col min="2822" max="2822" width="13" style="5" customWidth="1"/>
    <col min="2823" max="3072" width="9.140625" style="5"/>
    <col min="3073" max="3073" width="5.85546875" style="5" customWidth="1"/>
    <col min="3074" max="3074" width="45" style="5" customWidth="1"/>
    <col min="3075" max="3075" width="20.7109375" style="5" customWidth="1"/>
    <col min="3076" max="3076" width="21.85546875" style="5" customWidth="1"/>
    <col min="3077" max="3077" width="19" style="5" customWidth="1"/>
    <col min="3078" max="3078" width="13" style="5" customWidth="1"/>
    <col min="3079" max="3328" width="9.140625" style="5"/>
    <col min="3329" max="3329" width="5.85546875" style="5" customWidth="1"/>
    <col min="3330" max="3330" width="45" style="5" customWidth="1"/>
    <col min="3331" max="3331" width="20.7109375" style="5" customWidth="1"/>
    <col min="3332" max="3332" width="21.85546875" style="5" customWidth="1"/>
    <col min="3333" max="3333" width="19" style="5" customWidth="1"/>
    <col min="3334" max="3334" width="13" style="5" customWidth="1"/>
    <col min="3335" max="3584" width="9.140625" style="5"/>
    <col min="3585" max="3585" width="5.85546875" style="5" customWidth="1"/>
    <col min="3586" max="3586" width="45" style="5" customWidth="1"/>
    <col min="3587" max="3587" width="20.7109375" style="5" customWidth="1"/>
    <col min="3588" max="3588" width="21.85546875" style="5" customWidth="1"/>
    <col min="3589" max="3589" width="19" style="5" customWidth="1"/>
    <col min="3590" max="3590" width="13" style="5" customWidth="1"/>
    <col min="3591" max="3840" width="9.140625" style="5"/>
    <col min="3841" max="3841" width="5.85546875" style="5" customWidth="1"/>
    <col min="3842" max="3842" width="45" style="5" customWidth="1"/>
    <col min="3843" max="3843" width="20.7109375" style="5" customWidth="1"/>
    <col min="3844" max="3844" width="21.85546875" style="5" customWidth="1"/>
    <col min="3845" max="3845" width="19" style="5" customWidth="1"/>
    <col min="3846" max="3846" width="13" style="5" customWidth="1"/>
    <col min="3847" max="4096" width="9.140625" style="5"/>
    <col min="4097" max="4097" width="5.85546875" style="5" customWidth="1"/>
    <col min="4098" max="4098" width="45" style="5" customWidth="1"/>
    <col min="4099" max="4099" width="20.7109375" style="5" customWidth="1"/>
    <col min="4100" max="4100" width="21.85546875" style="5" customWidth="1"/>
    <col min="4101" max="4101" width="19" style="5" customWidth="1"/>
    <col min="4102" max="4102" width="13" style="5" customWidth="1"/>
    <col min="4103" max="4352" width="9.140625" style="5"/>
    <col min="4353" max="4353" width="5.85546875" style="5" customWidth="1"/>
    <col min="4354" max="4354" width="45" style="5" customWidth="1"/>
    <col min="4355" max="4355" width="20.7109375" style="5" customWidth="1"/>
    <col min="4356" max="4356" width="21.85546875" style="5" customWidth="1"/>
    <col min="4357" max="4357" width="19" style="5" customWidth="1"/>
    <col min="4358" max="4358" width="13" style="5" customWidth="1"/>
    <col min="4359" max="4608" width="9.140625" style="5"/>
    <col min="4609" max="4609" width="5.85546875" style="5" customWidth="1"/>
    <col min="4610" max="4610" width="45" style="5" customWidth="1"/>
    <col min="4611" max="4611" width="20.7109375" style="5" customWidth="1"/>
    <col min="4612" max="4612" width="21.85546875" style="5" customWidth="1"/>
    <col min="4613" max="4613" width="19" style="5" customWidth="1"/>
    <col min="4614" max="4614" width="13" style="5" customWidth="1"/>
    <col min="4615" max="4864" width="9.140625" style="5"/>
    <col min="4865" max="4865" width="5.85546875" style="5" customWidth="1"/>
    <col min="4866" max="4866" width="45" style="5" customWidth="1"/>
    <col min="4867" max="4867" width="20.7109375" style="5" customWidth="1"/>
    <col min="4868" max="4868" width="21.85546875" style="5" customWidth="1"/>
    <col min="4869" max="4869" width="19" style="5" customWidth="1"/>
    <col min="4870" max="4870" width="13" style="5" customWidth="1"/>
    <col min="4871" max="5120" width="9.140625" style="5"/>
    <col min="5121" max="5121" width="5.85546875" style="5" customWidth="1"/>
    <col min="5122" max="5122" width="45" style="5" customWidth="1"/>
    <col min="5123" max="5123" width="20.7109375" style="5" customWidth="1"/>
    <col min="5124" max="5124" width="21.85546875" style="5" customWidth="1"/>
    <col min="5125" max="5125" width="19" style="5" customWidth="1"/>
    <col min="5126" max="5126" width="13" style="5" customWidth="1"/>
    <col min="5127" max="5376" width="9.140625" style="5"/>
    <col min="5377" max="5377" width="5.85546875" style="5" customWidth="1"/>
    <col min="5378" max="5378" width="45" style="5" customWidth="1"/>
    <col min="5379" max="5379" width="20.7109375" style="5" customWidth="1"/>
    <col min="5380" max="5380" width="21.85546875" style="5" customWidth="1"/>
    <col min="5381" max="5381" width="19" style="5" customWidth="1"/>
    <col min="5382" max="5382" width="13" style="5" customWidth="1"/>
    <col min="5383" max="5632" width="9.140625" style="5"/>
    <col min="5633" max="5633" width="5.85546875" style="5" customWidth="1"/>
    <col min="5634" max="5634" width="45" style="5" customWidth="1"/>
    <col min="5635" max="5635" width="20.7109375" style="5" customWidth="1"/>
    <col min="5636" max="5636" width="21.85546875" style="5" customWidth="1"/>
    <col min="5637" max="5637" width="19" style="5" customWidth="1"/>
    <col min="5638" max="5638" width="13" style="5" customWidth="1"/>
    <col min="5639" max="5888" width="9.140625" style="5"/>
    <col min="5889" max="5889" width="5.85546875" style="5" customWidth="1"/>
    <col min="5890" max="5890" width="45" style="5" customWidth="1"/>
    <col min="5891" max="5891" width="20.7109375" style="5" customWidth="1"/>
    <col min="5892" max="5892" width="21.85546875" style="5" customWidth="1"/>
    <col min="5893" max="5893" width="19" style="5" customWidth="1"/>
    <col min="5894" max="5894" width="13" style="5" customWidth="1"/>
    <col min="5895" max="6144" width="9.140625" style="5"/>
    <col min="6145" max="6145" width="5.85546875" style="5" customWidth="1"/>
    <col min="6146" max="6146" width="45" style="5" customWidth="1"/>
    <col min="6147" max="6147" width="20.7109375" style="5" customWidth="1"/>
    <col min="6148" max="6148" width="21.85546875" style="5" customWidth="1"/>
    <col min="6149" max="6149" width="19" style="5" customWidth="1"/>
    <col min="6150" max="6150" width="13" style="5" customWidth="1"/>
    <col min="6151" max="6400" width="9.140625" style="5"/>
    <col min="6401" max="6401" width="5.85546875" style="5" customWidth="1"/>
    <col min="6402" max="6402" width="45" style="5" customWidth="1"/>
    <col min="6403" max="6403" width="20.7109375" style="5" customWidth="1"/>
    <col min="6404" max="6404" width="21.85546875" style="5" customWidth="1"/>
    <col min="6405" max="6405" width="19" style="5" customWidth="1"/>
    <col min="6406" max="6406" width="13" style="5" customWidth="1"/>
    <col min="6407" max="6656" width="9.140625" style="5"/>
    <col min="6657" max="6657" width="5.85546875" style="5" customWidth="1"/>
    <col min="6658" max="6658" width="45" style="5" customWidth="1"/>
    <col min="6659" max="6659" width="20.7109375" style="5" customWidth="1"/>
    <col min="6660" max="6660" width="21.85546875" style="5" customWidth="1"/>
    <col min="6661" max="6661" width="19" style="5" customWidth="1"/>
    <col min="6662" max="6662" width="13" style="5" customWidth="1"/>
    <col min="6663" max="6912" width="9.140625" style="5"/>
    <col min="6913" max="6913" width="5.85546875" style="5" customWidth="1"/>
    <col min="6914" max="6914" width="45" style="5" customWidth="1"/>
    <col min="6915" max="6915" width="20.7109375" style="5" customWidth="1"/>
    <col min="6916" max="6916" width="21.85546875" style="5" customWidth="1"/>
    <col min="6917" max="6917" width="19" style="5" customWidth="1"/>
    <col min="6918" max="6918" width="13" style="5" customWidth="1"/>
    <col min="6919" max="7168" width="9.140625" style="5"/>
    <col min="7169" max="7169" width="5.85546875" style="5" customWidth="1"/>
    <col min="7170" max="7170" width="45" style="5" customWidth="1"/>
    <col min="7171" max="7171" width="20.7109375" style="5" customWidth="1"/>
    <col min="7172" max="7172" width="21.85546875" style="5" customWidth="1"/>
    <col min="7173" max="7173" width="19" style="5" customWidth="1"/>
    <col min="7174" max="7174" width="13" style="5" customWidth="1"/>
    <col min="7175" max="7424" width="9.140625" style="5"/>
    <col min="7425" max="7425" width="5.85546875" style="5" customWidth="1"/>
    <col min="7426" max="7426" width="45" style="5" customWidth="1"/>
    <col min="7427" max="7427" width="20.7109375" style="5" customWidth="1"/>
    <col min="7428" max="7428" width="21.85546875" style="5" customWidth="1"/>
    <col min="7429" max="7429" width="19" style="5" customWidth="1"/>
    <col min="7430" max="7430" width="13" style="5" customWidth="1"/>
    <col min="7431" max="7680" width="9.140625" style="5"/>
    <col min="7681" max="7681" width="5.85546875" style="5" customWidth="1"/>
    <col min="7682" max="7682" width="45" style="5" customWidth="1"/>
    <col min="7683" max="7683" width="20.7109375" style="5" customWidth="1"/>
    <col min="7684" max="7684" width="21.85546875" style="5" customWidth="1"/>
    <col min="7685" max="7685" width="19" style="5" customWidth="1"/>
    <col min="7686" max="7686" width="13" style="5" customWidth="1"/>
    <col min="7687" max="7936" width="9.140625" style="5"/>
    <col min="7937" max="7937" width="5.85546875" style="5" customWidth="1"/>
    <col min="7938" max="7938" width="45" style="5" customWidth="1"/>
    <col min="7939" max="7939" width="20.7109375" style="5" customWidth="1"/>
    <col min="7940" max="7940" width="21.85546875" style="5" customWidth="1"/>
    <col min="7941" max="7941" width="19" style="5" customWidth="1"/>
    <col min="7942" max="7942" width="13" style="5" customWidth="1"/>
    <col min="7943" max="8192" width="9.140625" style="5"/>
    <col min="8193" max="8193" width="5.85546875" style="5" customWidth="1"/>
    <col min="8194" max="8194" width="45" style="5" customWidth="1"/>
    <col min="8195" max="8195" width="20.7109375" style="5" customWidth="1"/>
    <col min="8196" max="8196" width="21.85546875" style="5" customWidth="1"/>
    <col min="8197" max="8197" width="19" style="5" customWidth="1"/>
    <col min="8198" max="8198" width="13" style="5" customWidth="1"/>
    <col min="8199" max="8448" width="9.140625" style="5"/>
    <col min="8449" max="8449" width="5.85546875" style="5" customWidth="1"/>
    <col min="8450" max="8450" width="45" style="5" customWidth="1"/>
    <col min="8451" max="8451" width="20.7109375" style="5" customWidth="1"/>
    <col min="8452" max="8452" width="21.85546875" style="5" customWidth="1"/>
    <col min="8453" max="8453" width="19" style="5" customWidth="1"/>
    <col min="8454" max="8454" width="13" style="5" customWidth="1"/>
    <col min="8455" max="8704" width="9.140625" style="5"/>
    <col min="8705" max="8705" width="5.85546875" style="5" customWidth="1"/>
    <col min="8706" max="8706" width="45" style="5" customWidth="1"/>
    <col min="8707" max="8707" width="20.7109375" style="5" customWidth="1"/>
    <col min="8708" max="8708" width="21.85546875" style="5" customWidth="1"/>
    <col min="8709" max="8709" width="19" style="5" customWidth="1"/>
    <col min="8710" max="8710" width="13" style="5" customWidth="1"/>
    <col min="8711" max="8960" width="9.140625" style="5"/>
    <col min="8961" max="8961" width="5.85546875" style="5" customWidth="1"/>
    <col min="8962" max="8962" width="45" style="5" customWidth="1"/>
    <col min="8963" max="8963" width="20.7109375" style="5" customWidth="1"/>
    <col min="8964" max="8964" width="21.85546875" style="5" customWidth="1"/>
    <col min="8965" max="8965" width="19" style="5" customWidth="1"/>
    <col min="8966" max="8966" width="13" style="5" customWidth="1"/>
    <col min="8967" max="9216" width="9.140625" style="5"/>
    <col min="9217" max="9217" width="5.85546875" style="5" customWidth="1"/>
    <col min="9218" max="9218" width="45" style="5" customWidth="1"/>
    <col min="9219" max="9219" width="20.7109375" style="5" customWidth="1"/>
    <col min="9220" max="9220" width="21.85546875" style="5" customWidth="1"/>
    <col min="9221" max="9221" width="19" style="5" customWidth="1"/>
    <col min="9222" max="9222" width="13" style="5" customWidth="1"/>
    <col min="9223" max="9472" width="9.140625" style="5"/>
    <col min="9473" max="9473" width="5.85546875" style="5" customWidth="1"/>
    <col min="9474" max="9474" width="45" style="5" customWidth="1"/>
    <col min="9475" max="9475" width="20.7109375" style="5" customWidth="1"/>
    <col min="9476" max="9476" width="21.85546875" style="5" customWidth="1"/>
    <col min="9477" max="9477" width="19" style="5" customWidth="1"/>
    <col min="9478" max="9478" width="13" style="5" customWidth="1"/>
    <col min="9479" max="9728" width="9.140625" style="5"/>
    <col min="9729" max="9729" width="5.85546875" style="5" customWidth="1"/>
    <col min="9730" max="9730" width="45" style="5" customWidth="1"/>
    <col min="9731" max="9731" width="20.7109375" style="5" customWidth="1"/>
    <col min="9732" max="9732" width="21.85546875" style="5" customWidth="1"/>
    <col min="9733" max="9733" width="19" style="5" customWidth="1"/>
    <col min="9734" max="9734" width="13" style="5" customWidth="1"/>
    <col min="9735" max="9984" width="9.140625" style="5"/>
    <col min="9985" max="9985" width="5.85546875" style="5" customWidth="1"/>
    <col min="9986" max="9986" width="45" style="5" customWidth="1"/>
    <col min="9987" max="9987" width="20.7109375" style="5" customWidth="1"/>
    <col min="9988" max="9988" width="21.85546875" style="5" customWidth="1"/>
    <col min="9989" max="9989" width="19" style="5" customWidth="1"/>
    <col min="9990" max="9990" width="13" style="5" customWidth="1"/>
    <col min="9991" max="10240" width="9.140625" style="5"/>
    <col min="10241" max="10241" width="5.85546875" style="5" customWidth="1"/>
    <col min="10242" max="10242" width="45" style="5" customWidth="1"/>
    <col min="10243" max="10243" width="20.7109375" style="5" customWidth="1"/>
    <col min="10244" max="10244" width="21.85546875" style="5" customWidth="1"/>
    <col min="10245" max="10245" width="19" style="5" customWidth="1"/>
    <col min="10246" max="10246" width="13" style="5" customWidth="1"/>
    <col min="10247" max="10496" width="9.140625" style="5"/>
    <col min="10497" max="10497" width="5.85546875" style="5" customWidth="1"/>
    <col min="10498" max="10498" width="45" style="5" customWidth="1"/>
    <col min="10499" max="10499" width="20.7109375" style="5" customWidth="1"/>
    <col min="10500" max="10500" width="21.85546875" style="5" customWidth="1"/>
    <col min="10501" max="10501" width="19" style="5" customWidth="1"/>
    <col min="10502" max="10502" width="13" style="5" customWidth="1"/>
    <col min="10503" max="10752" width="9.140625" style="5"/>
    <col min="10753" max="10753" width="5.85546875" style="5" customWidth="1"/>
    <col min="10754" max="10754" width="45" style="5" customWidth="1"/>
    <col min="10755" max="10755" width="20.7109375" style="5" customWidth="1"/>
    <col min="10756" max="10756" width="21.85546875" style="5" customWidth="1"/>
    <col min="10757" max="10757" width="19" style="5" customWidth="1"/>
    <col min="10758" max="10758" width="13" style="5" customWidth="1"/>
    <col min="10759" max="11008" width="9.140625" style="5"/>
    <col min="11009" max="11009" width="5.85546875" style="5" customWidth="1"/>
    <col min="11010" max="11010" width="45" style="5" customWidth="1"/>
    <col min="11011" max="11011" width="20.7109375" style="5" customWidth="1"/>
    <col min="11012" max="11012" width="21.85546875" style="5" customWidth="1"/>
    <col min="11013" max="11013" width="19" style="5" customWidth="1"/>
    <col min="11014" max="11014" width="13" style="5" customWidth="1"/>
    <col min="11015" max="11264" width="9.140625" style="5"/>
    <col min="11265" max="11265" width="5.85546875" style="5" customWidth="1"/>
    <col min="11266" max="11266" width="45" style="5" customWidth="1"/>
    <col min="11267" max="11267" width="20.7109375" style="5" customWidth="1"/>
    <col min="11268" max="11268" width="21.85546875" style="5" customWidth="1"/>
    <col min="11269" max="11269" width="19" style="5" customWidth="1"/>
    <col min="11270" max="11270" width="13" style="5" customWidth="1"/>
    <col min="11271" max="11520" width="9.140625" style="5"/>
    <col min="11521" max="11521" width="5.85546875" style="5" customWidth="1"/>
    <col min="11522" max="11522" width="45" style="5" customWidth="1"/>
    <col min="11523" max="11523" width="20.7109375" style="5" customWidth="1"/>
    <col min="11524" max="11524" width="21.85546875" style="5" customWidth="1"/>
    <col min="11525" max="11525" width="19" style="5" customWidth="1"/>
    <col min="11526" max="11526" width="13" style="5" customWidth="1"/>
    <col min="11527" max="11776" width="9.140625" style="5"/>
    <col min="11777" max="11777" width="5.85546875" style="5" customWidth="1"/>
    <col min="11778" max="11778" width="45" style="5" customWidth="1"/>
    <col min="11779" max="11779" width="20.7109375" style="5" customWidth="1"/>
    <col min="11780" max="11780" width="21.85546875" style="5" customWidth="1"/>
    <col min="11781" max="11781" width="19" style="5" customWidth="1"/>
    <col min="11782" max="11782" width="13" style="5" customWidth="1"/>
    <col min="11783" max="12032" width="9.140625" style="5"/>
    <col min="12033" max="12033" width="5.85546875" style="5" customWidth="1"/>
    <col min="12034" max="12034" width="45" style="5" customWidth="1"/>
    <col min="12035" max="12035" width="20.7109375" style="5" customWidth="1"/>
    <col min="12036" max="12036" width="21.85546875" style="5" customWidth="1"/>
    <col min="12037" max="12037" width="19" style="5" customWidth="1"/>
    <col min="12038" max="12038" width="13" style="5" customWidth="1"/>
    <col min="12039" max="12288" width="9.140625" style="5"/>
    <col min="12289" max="12289" width="5.85546875" style="5" customWidth="1"/>
    <col min="12290" max="12290" width="45" style="5" customWidth="1"/>
    <col min="12291" max="12291" width="20.7109375" style="5" customWidth="1"/>
    <col min="12292" max="12292" width="21.85546875" style="5" customWidth="1"/>
    <col min="12293" max="12293" width="19" style="5" customWidth="1"/>
    <col min="12294" max="12294" width="13" style="5" customWidth="1"/>
    <col min="12295" max="12544" width="9.140625" style="5"/>
    <col min="12545" max="12545" width="5.85546875" style="5" customWidth="1"/>
    <col min="12546" max="12546" width="45" style="5" customWidth="1"/>
    <col min="12547" max="12547" width="20.7109375" style="5" customWidth="1"/>
    <col min="12548" max="12548" width="21.85546875" style="5" customWidth="1"/>
    <col min="12549" max="12549" width="19" style="5" customWidth="1"/>
    <col min="12550" max="12550" width="13" style="5" customWidth="1"/>
    <col min="12551" max="12800" width="9.140625" style="5"/>
    <col min="12801" max="12801" width="5.85546875" style="5" customWidth="1"/>
    <col min="12802" max="12802" width="45" style="5" customWidth="1"/>
    <col min="12803" max="12803" width="20.7109375" style="5" customWidth="1"/>
    <col min="12804" max="12804" width="21.85546875" style="5" customWidth="1"/>
    <col min="12805" max="12805" width="19" style="5" customWidth="1"/>
    <col min="12806" max="12806" width="13" style="5" customWidth="1"/>
    <col min="12807" max="13056" width="9.140625" style="5"/>
    <col min="13057" max="13057" width="5.85546875" style="5" customWidth="1"/>
    <col min="13058" max="13058" width="45" style="5" customWidth="1"/>
    <col min="13059" max="13059" width="20.7109375" style="5" customWidth="1"/>
    <col min="13060" max="13060" width="21.85546875" style="5" customWidth="1"/>
    <col min="13061" max="13061" width="19" style="5" customWidth="1"/>
    <col min="13062" max="13062" width="13" style="5" customWidth="1"/>
    <col min="13063" max="13312" width="9.140625" style="5"/>
    <col min="13313" max="13313" width="5.85546875" style="5" customWidth="1"/>
    <col min="13314" max="13314" width="45" style="5" customWidth="1"/>
    <col min="13315" max="13315" width="20.7109375" style="5" customWidth="1"/>
    <col min="13316" max="13316" width="21.85546875" style="5" customWidth="1"/>
    <col min="13317" max="13317" width="19" style="5" customWidth="1"/>
    <col min="13318" max="13318" width="13" style="5" customWidth="1"/>
    <col min="13319" max="13568" width="9.140625" style="5"/>
    <col min="13569" max="13569" width="5.85546875" style="5" customWidth="1"/>
    <col min="13570" max="13570" width="45" style="5" customWidth="1"/>
    <col min="13571" max="13571" width="20.7109375" style="5" customWidth="1"/>
    <col min="13572" max="13572" width="21.85546875" style="5" customWidth="1"/>
    <col min="13573" max="13573" width="19" style="5" customWidth="1"/>
    <col min="13574" max="13574" width="13" style="5" customWidth="1"/>
    <col min="13575" max="13824" width="9.140625" style="5"/>
    <col min="13825" max="13825" width="5.85546875" style="5" customWidth="1"/>
    <col min="13826" max="13826" width="45" style="5" customWidth="1"/>
    <col min="13827" max="13827" width="20.7109375" style="5" customWidth="1"/>
    <col min="13828" max="13828" width="21.85546875" style="5" customWidth="1"/>
    <col min="13829" max="13829" width="19" style="5" customWidth="1"/>
    <col min="13830" max="13830" width="13" style="5" customWidth="1"/>
    <col min="13831" max="14080" width="9.140625" style="5"/>
    <col min="14081" max="14081" width="5.85546875" style="5" customWidth="1"/>
    <col min="14082" max="14082" width="45" style="5" customWidth="1"/>
    <col min="14083" max="14083" width="20.7109375" style="5" customWidth="1"/>
    <col min="14084" max="14084" width="21.85546875" style="5" customWidth="1"/>
    <col min="14085" max="14085" width="19" style="5" customWidth="1"/>
    <col min="14086" max="14086" width="13" style="5" customWidth="1"/>
    <col min="14087" max="14336" width="9.140625" style="5"/>
    <col min="14337" max="14337" width="5.85546875" style="5" customWidth="1"/>
    <col min="14338" max="14338" width="45" style="5" customWidth="1"/>
    <col min="14339" max="14339" width="20.7109375" style="5" customWidth="1"/>
    <col min="14340" max="14340" width="21.85546875" style="5" customWidth="1"/>
    <col min="14341" max="14341" width="19" style="5" customWidth="1"/>
    <col min="14342" max="14342" width="13" style="5" customWidth="1"/>
    <col min="14343" max="14592" width="9.140625" style="5"/>
    <col min="14593" max="14593" width="5.85546875" style="5" customWidth="1"/>
    <col min="14594" max="14594" width="45" style="5" customWidth="1"/>
    <col min="14595" max="14595" width="20.7109375" style="5" customWidth="1"/>
    <col min="14596" max="14596" width="21.85546875" style="5" customWidth="1"/>
    <col min="14597" max="14597" width="19" style="5" customWidth="1"/>
    <col min="14598" max="14598" width="13" style="5" customWidth="1"/>
    <col min="14599" max="14848" width="9.140625" style="5"/>
    <col min="14849" max="14849" width="5.85546875" style="5" customWidth="1"/>
    <col min="14850" max="14850" width="45" style="5" customWidth="1"/>
    <col min="14851" max="14851" width="20.7109375" style="5" customWidth="1"/>
    <col min="14852" max="14852" width="21.85546875" style="5" customWidth="1"/>
    <col min="14853" max="14853" width="19" style="5" customWidth="1"/>
    <col min="14854" max="14854" width="13" style="5" customWidth="1"/>
    <col min="14855" max="15104" width="9.140625" style="5"/>
    <col min="15105" max="15105" width="5.85546875" style="5" customWidth="1"/>
    <col min="15106" max="15106" width="45" style="5" customWidth="1"/>
    <col min="15107" max="15107" width="20.7109375" style="5" customWidth="1"/>
    <col min="15108" max="15108" width="21.85546875" style="5" customWidth="1"/>
    <col min="15109" max="15109" width="19" style="5" customWidth="1"/>
    <col min="15110" max="15110" width="13" style="5" customWidth="1"/>
    <col min="15111" max="15360" width="9.140625" style="5"/>
    <col min="15361" max="15361" width="5.85546875" style="5" customWidth="1"/>
    <col min="15362" max="15362" width="45" style="5" customWidth="1"/>
    <col min="15363" max="15363" width="20.7109375" style="5" customWidth="1"/>
    <col min="15364" max="15364" width="21.85546875" style="5" customWidth="1"/>
    <col min="15365" max="15365" width="19" style="5" customWidth="1"/>
    <col min="15366" max="15366" width="13" style="5" customWidth="1"/>
    <col min="15367" max="15616" width="9.140625" style="5"/>
    <col min="15617" max="15617" width="5.85546875" style="5" customWidth="1"/>
    <col min="15618" max="15618" width="45" style="5" customWidth="1"/>
    <col min="15619" max="15619" width="20.7109375" style="5" customWidth="1"/>
    <col min="15620" max="15620" width="21.85546875" style="5" customWidth="1"/>
    <col min="15621" max="15621" width="19" style="5" customWidth="1"/>
    <col min="15622" max="15622" width="13" style="5" customWidth="1"/>
    <col min="15623" max="15872" width="9.140625" style="5"/>
    <col min="15873" max="15873" width="5.85546875" style="5" customWidth="1"/>
    <col min="15874" max="15874" width="45" style="5" customWidth="1"/>
    <col min="15875" max="15875" width="20.7109375" style="5" customWidth="1"/>
    <col min="15876" max="15876" width="21.85546875" style="5" customWidth="1"/>
    <col min="15877" max="15877" width="19" style="5" customWidth="1"/>
    <col min="15878" max="15878" width="13" style="5" customWidth="1"/>
    <col min="15879" max="16128" width="9.140625" style="5"/>
    <col min="16129" max="16129" width="5.85546875" style="5" customWidth="1"/>
    <col min="16130" max="16130" width="45" style="5" customWidth="1"/>
    <col min="16131" max="16131" width="20.7109375" style="5" customWidth="1"/>
    <col min="16132" max="16132" width="21.85546875" style="5" customWidth="1"/>
    <col min="16133" max="16133" width="19" style="5" customWidth="1"/>
    <col min="16134" max="16134" width="13" style="5" customWidth="1"/>
    <col min="16135" max="16384" width="9.140625" style="5"/>
  </cols>
  <sheetData>
    <row r="1" spans="1:6" ht="21" customHeight="1">
      <c r="A1" s="72" t="s">
        <v>133</v>
      </c>
      <c r="B1" s="2"/>
      <c r="C1" s="3"/>
      <c r="D1" s="4"/>
      <c r="E1" s="4"/>
    </row>
    <row r="2" spans="1:6" ht="18.75">
      <c r="A2" s="1"/>
      <c r="B2" s="1"/>
      <c r="C2" s="3"/>
      <c r="D2" s="3"/>
      <c r="E2" s="3"/>
      <c r="F2" s="3"/>
    </row>
    <row r="3" spans="1:6" ht="21" customHeight="1">
      <c r="A3" s="337" t="s">
        <v>434</v>
      </c>
      <c r="B3" s="337"/>
      <c r="C3" s="337"/>
      <c r="D3" s="337"/>
      <c r="E3" s="337"/>
      <c r="F3" s="337"/>
    </row>
    <row r="4" spans="1:6" ht="21" customHeight="1">
      <c r="A4" s="338" t="s">
        <v>546</v>
      </c>
      <c r="B4" s="338"/>
      <c r="C4" s="338"/>
      <c r="D4" s="338"/>
      <c r="E4" s="338"/>
      <c r="F4" s="338"/>
    </row>
    <row r="5" spans="1:6" ht="9.75" customHeight="1">
      <c r="A5" s="4"/>
      <c r="B5" s="6"/>
      <c r="C5" s="3"/>
      <c r="D5" s="3"/>
      <c r="E5" s="3"/>
      <c r="F5" s="3"/>
    </row>
    <row r="6" spans="1:6" ht="9.75" customHeight="1">
      <c r="A6" s="6"/>
      <c r="B6" s="6"/>
      <c r="C6" s="3"/>
      <c r="D6" s="3"/>
      <c r="E6" s="3"/>
      <c r="F6" s="3"/>
    </row>
    <row r="7" spans="1:6" ht="20.25" customHeight="1">
      <c r="A7" s="97"/>
      <c r="B7" s="97"/>
      <c r="C7" s="7"/>
      <c r="D7" s="339" t="s">
        <v>440</v>
      </c>
      <c r="E7" s="339"/>
      <c r="F7" s="339"/>
    </row>
    <row r="8" spans="1:6" s="8" customFormat="1" ht="21.75" customHeight="1">
      <c r="A8" s="340" t="s">
        <v>134</v>
      </c>
      <c r="B8" s="341" t="s">
        <v>135</v>
      </c>
      <c r="C8" s="340" t="s">
        <v>3</v>
      </c>
      <c r="D8" s="341" t="s">
        <v>4</v>
      </c>
      <c r="E8" s="341" t="s">
        <v>404</v>
      </c>
      <c r="F8" s="341"/>
    </row>
    <row r="9" spans="1:6" s="8" customFormat="1" ht="23.25" customHeight="1">
      <c r="A9" s="340"/>
      <c r="B9" s="341"/>
      <c r="C9" s="340"/>
      <c r="D9" s="341"/>
      <c r="E9" s="9" t="s">
        <v>136</v>
      </c>
      <c r="F9" s="9" t="s">
        <v>137</v>
      </c>
    </row>
    <row r="10" spans="1:6" s="12" customFormat="1" ht="17.25" customHeight="1">
      <c r="A10" s="10" t="s">
        <v>6</v>
      </c>
      <c r="B10" s="10" t="s">
        <v>23</v>
      </c>
      <c r="C10" s="10">
        <v>1</v>
      </c>
      <c r="D10" s="10">
        <f>C10+1</f>
        <v>2</v>
      </c>
      <c r="E10" s="10" t="s">
        <v>138</v>
      </c>
      <c r="F10" s="11" t="s">
        <v>139</v>
      </c>
    </row>
    <row r="11" spans="1:6" s="14" customFormat="1" ht="28.5" customHeight="1">
      <c r="A11" s="13" t="s">
        <v>6</v>
      </c>
      <c r="B11" s="73" t="s">
        <v>140</v>
      </c>
      <c r="C11" s="224">
        <f>C12+C15+C18+C19+C20</f>
        <v>407254</v>
      </c>
      <c r="D11" s="224">
        <f>D12+D15+D18+D19+D20</f>
        <v>602874.94120500004</v>
      </c>
      <c r="E11" s="224">
        <f>E12+E15+E18+E19+E20</f>
        <v>195620.94120499998</v>
      </c>
      <c r="F11" s="240">
        <f>D11/C11</f>
        <v>1.4803413624052804</v>
      </c>
    </row>
    <row r="12" spans="1:6" s="14" customFormat="1" ht="42" customHeight="1">
      <c r="A12" s="15" t="s">
        <v>8</v>
      </c>
      <c r="B12" s="16" t="s">
        <v>141</v>
      </c>
      <c r="C12" s="225">
        <f>SUM(C13:C14)</f>
        <v>31700</v>
      </c>
      <c r="D12" s="225">
        <f>SUM(D13:D14)</f>
        <v>23973.740499</v>
      </c>
      <c r="E12" s="225">
        <f>SUM(E13:E14)</f>
        <v>-7726.2595010000005</v>
      </c>
      <c r="F12" s="241">
        <f>D12/C12</f>
        <v>0.75626941637223977</v>
      </c>
    </row>
    <row r="13" spans="1:6" s="14" customFormat="1" ht="21.95" customHeight="1">
      <c r="A13" s="17" t="s">
        <v>12</v>
      </c>
      <c r="B13" s="18" t="s">
        <v>142</v>
      </c>
      <c r="C13" s="226">
        <f>16026+8824</f>
        <v>24850</v>
      </c>
      <c r="D13" s="226">
        <v>12566.64098</v>
      </c>
      <c r="E13" s="226">
        <f>D13-C13</f>
        <v>-12283.35902</v>
      </c>
      <c r="F13" s="242">
        <f>D13/C13</f>
        <v>0.50569983822937625</v>
      </c>
    </row>
    <row r="14" spans="1:6" s="14" customFormat="1" ht="42" customHeight="1">
      <c r="A14" s="17" t="s">
        <v>12</v>
      </c>
      <c r="B14" s="18" t="s">
        <v>143</v>
      </c>
      <c r="C14" s="226">
        <v>6850</v>
      </c>
      <c r="D14" s="226">
        <v>11407.099518999999</v>
      </c>
      <c r="E14" s="226">
        <f>D14-C14</f>
        <v>4557.0995189999994</v>
      </c>
      <c r="F14" s="242">
        <f t="shared" ref="F14:F17" si="0">D14/C14</f>
        <v>1.6652700027737226</v>
      </c>
    </row>
    <row r="15" spans="1:6" s="19" customFormat="1" ht="21.95" customHeight="1">
      <c r="A15" s="15" t="s">
        <v>16</v>
      </c>
      <c r="B15" s="16" t="s">
        <v>144</v>
      </c>
      <c r="C15" s="225">
        <f>SUM(C16:C17)</f>
        <v>375554</v>
      </c>
      <c r="D15" s="225">
        <f>SUM(D16:D17)</f>
        <v>482507.93799999997</v>
      </c>
      <c r="E15" s="225">
        <f>D15-C15</f>
        <v>106953.93799999997</v>
      </c>
      <c r="F15" s="241">
        <f t="shared" si="0"/>
        <v>1.2847897719102979</v>
      </c>
    </row>
    <row r="16" spans="1:6" s="14" customFormat="1" ht="21.95" customHeight="1">
      <c r="A16" s="20">
        <v>1</v>
      </c>
      <c r="B16" s="18" t="s">
        <v>145</v>
      </c>
      <c r="C16" s="226">
        <v>366425</v>
      </c>
      <c r="D16" s="226">
        <v>366425</v>
      </c>
      <c r="E16" s="226">
        <f t="shared" ref="E16:E41" si="1">D16-C16</f>
        <v>0</v>
      </c>
      <c r="F16" s="242">
        <f t="shared" si="0"/>
        <v>1</v>
      </c>
    </row>
    <row r="17" spans="1:6" s="14" customFormat="1" ht="21.95" customHeight="1">
      <c r="A17" s="20">
        <f>A16+1</f>
        <v>2</v>
      </c>
      <c r="B17" s="18" t="s">
        <v>146</v>
      </c>
      <c r="C17" s="226">
        <v>9129</v>
      </c>
      <c r="D17" s="226">
        <v>116082.93799999999</v>
      </c>
      <c r="E17" s="226">
        <f t="shared" si="1"/>
        <v>106953.93799999999</v>
      </c>
      <c r="F17" s="242">
        <f t="shared" si="0"/>
        <v>12.715843794501041</v>
      </c>
    </row>
    <row r="18" spans="1:6" s="21" customFormat="1" ht="21.95" customHeight="1">
      <c r="A18" s="15" t="s">
        <v>50</v>
      </c>
      <c r="B18" s="16" t="s">
        <v>147</v>
      </c>
      <c r="C18" s="226"/>
      <c r="D18" s="226"/>
      <c r="E18" s="226">
        <f t="shared" si="1"/>
        <v>0</v>
      </c>
      <c r="F18" s="242"/>
    </row>
    <row r="19" spans="1:6" s="21" customFormat="1" ht="21.95" customHeight="1">
      <c r="A19" s="15" t="s">
        <v>51</v>
      </c>
      <c r="B19" s="16" t="s">
        <v>148</v>
      </c>
      <c r="C19" s="226"/>
      <c r="D19" s="226">
        <v>6568.5045499999997</v>
      </c>
      <c r="E19" s="226">
        <f t="shared" si="1"/>
        <v>6568.5045499999997</v>
      </c>
      <c r="F19" s="242"/>
    </row>
    <row r="20" spans="1:6" s="21" customFormat="1" ht="42" customHeight="1">
      <c r="A20" s="15" t="s">
        <v>19</v>
      </c>
      <c r="B20" s="16" t="s">
        <v>149</v>
      </c>
      <c r="C20" s="226"/>
      <c r="D20" s="226">
        <v>89824.758155999996</v>
      </c>
      <c r="E20" s="226">
        <f t="shared" si="1"/>
        <v>89824.758155999996</v>
      </c>
      <c r="F20" s="242"/>
    </row>
    <row r="21" spans="1:6" s="14" customFormat="1" ht="24" customHeight="1">
      <c r="A21" s="15" t="s">
        <v>23</v>
      </c>
      <c r="B21" s="74" t="s">
        <v>44</v>
      </c>
      <c r="C21" s="225">
        <f>C22+C29+C32+C33</f>
        <v>407254</v>
      </c>
      <c r="D21" s="225">
        <f>D22+D29+D32+D33</f>
        <v>599863.87984399998</v>
      </c>
      <c r="E21" s="225">
        <f t="shared" si="1"/>
        <v>192609.87984399998</v>
      </c>
      <c r="F21" s="241">
        <f>D21/C21</f>
        <v>1.47294779141273</v>
      </c>
    </row>
    <row r="22" spans="1:6" s="83" customFormat="1" ht="21.95" customHeight="1">
      <c r="A22" s="15" t="s">
        <v>8</v>
      </c>
      <c r="B22" s="16" t="s">
        <v>150</v>
      </c>
      <c r="C22" s="225">
        <f>SUM(C23:C28)</f>
        <v>407134</v>
      </c>
      <c r="D22" s="225">
        <f>SUM(D23:D28)</f>
        <v>413867.92483700003</v>
      </c>
      <c r="E22" s="225">
        <f t="shared" si="1"/>
        <v>6733.9248370000278</v>
      </c>
      <c r="F22" s="241">
        <f>D22/C22</f>
        <v>1.016539824325652</v>
      </c>
    </row>
    <row r="23" spans="1:6" s="14" customFormat="1" ht="21.95" customHeight="1">
      <c r="A23" s="20">
        <v>1</v>
      </c>
      <c r="B23" s="18" t="s">
        <v>151</v>
      </c>
      <c r="C23" s="226">
        <v>32773</v>
      </c>
      <c r="D23" s="226">
        <v>39230.252860000001</v>
      </c>
      <c r="E23" s="226">
        <f t="shared" si="1"/>
        <v>6457.2528600000005</v>
      </c>
      <c r="F23" s="242">
        <f t="shared" ref="F23:F24" si="2">D23/C23</f>
        <v>1.1970296542885912</v>
      </c>
    </row>
    <row r="24" spans="1:6" s="14" customFormat="1" ht="21.95" customHeight="1">
      <c r="A24" s="20">
        <f>A23+1</f>
        <v>2</v>
      </c>
      <c r="B24" s="18" t="s">
        <v>17</v>
      </c>
      <c r="C24" s="226">
        <v>358808</v>
      </c>
      <c r="D24" s="226">
        <v>374637.67197700002</v>
      </c>
      <c r="E24" s="226">
        <f t="shared" si="1"/>
        <v>15829.67197700002</v>
      </c>
      <c r="F24" s="242">
        <f t="shared" si="2"/>
        <v>1.0441173886228847</v>
      </c>
    </row>
    <row r="25" spans="1:6" s="14" customFormat="1" ht="42" customHeight="1">
      <c r="A25" s="20">
        <f>A24+1</f>
        <v>3</v>
      </c>
      <c r="B25" s="18" t="s">
        <v>152</v>
      </c>
      <c r="C25" s="226"/>
      <c r="D25" s="226"/>
      <c r="E25" s="226"/>
      <c r="F25" s="242"/>
    </row>
    <row r="26" spans="1:6" s="22" customFormat="1" ht="21.95" customHeight="1">
      <c r="A26" s="20">
        <f>A25+1</f>
        <v>4</v>
      </c>
      <c r="B26" s="18" t="s">
        <v>153</v>
      </c>
      <c r="C26" s="226"/>
      <c r="D26" s="226"/>
      <c r="E26" s="226"/>
      <c r="F26" s="242"/>
    </row>
    <row r="27" spans="1:6" s="22" customFormat="1" ht="21.95" customHeight="1">
      <c r="A27" s="20">
        <f>A26+1</f>
        <v>5</v>
      </c>
      <c r="B27" s="18" t="s">
        <v>20</v>
      </c>
      <c r="C27" s="226">
        <v>7964</v>
      </c>
      <c r="D27" s="226"/>
      <c r="E27" s="226"/>
      <c r="F27" s="242">
        <f>D27/C27</f>
        <v>0</v>
      </c>
    </row>
    <row r="28" spans="1:6" s="14" customFormat="1" ht="21.95" customHeight="1">
      <c r="A28" s="20">
        <f>A27+1</f>
        <v>6</v>
      </c>
      <c r="B28" s="18" t="s">
        <v>22</v>
      </c>
      <c r="C28" s="226">
        <f>6029+1560</f>
        <v>7589</v>
      </c>
      <c r="D28" s="226"/>
      <c r="E28" s="226"/>
      <c r="F28" s="242">
        <f>D28/C28</f>
        <v>0</v>
      </c>
    </row>
    <row r="29" spans="1:6" s="14" customFormat="1" ht="21.95" customHeight="1">
      <c r="A29" s="15" t="s">
        <v>16</v>
      </c>
      <c r="B29" s="16" t="s">
        <v>154</v>
      </c>
      <c r="C29" s="225">
        <f>SUM(C30:C31)</f>
        <v>120</v>
      </c>
      <c r="D29" s="225">
        <f>SUM(D30:D31)</f>
        <v>24070.479649000001</v>
      </c>
      <c r="E29" s="225">
        <f t="shared" si="1"/>
        <v>23950.479649000001</v>
      </c>
      <c r="F29" s="241">
        <f>D29/C29</f>
        <v>200.58733040833334</v>
      </c>
    </row>
    <row r="30" spans="1:6" s="14" customFormat="1" ht="21.95" customHeight="1">
      <c r="A30" s="20">
        <v>1</v>
      </c>
      <c r="B30" s="18" t="s">
        <v>25</v>
      </c>
      <c r="C30" s="226"/>
      <c r="D30" s="226">
        <v>23950.479649000001</v>
      </c>
      <c r="E30" s="226">
        <f t="shared" si="1"/>
        <v>23950.479649000001</v>
      </c>
      <c r="F30" s="242"/>
    </row>
    <row r="31" spans="1:6" s="14" customFormat="1" ht="21.95" customHeight="1">
      <c r="A31" s="20">
        <f>A30+1</f>
        <v>2</v>
      </c>
      <c r="B31" s="18" t="s">
        <v>155</v>
      </c>
      <c r="C31" s="226">
        <v>120</v>
      </c>
      <c r="D31" s="226">
        <v>120</v>
      </c>
      <c r="E31" s="226">
        <f t="shared" si="1"/>
        <v>0</v>
      </c>
      <c r="F31" s="242">
        <f>D31/C31</f>
        <v>1</v>
      </c>
    </row>
    <row r="32" spans="1:6" s="14" customFormat="1" ht="21.95" customHeight="1">
      <c r="A32" s="15" t="s">
        <v>50</v>
      </c>
      <c r="B32" s="16" t="s">
        <v>98</v>
      </c>
      <c r="C32" s="227"/>
      <c r="D32" s="227">
        <v>134436.32114399999</v>
      </c>
      <c r="E32" s="227">
        <f>D32-C32</f>
        <v>134436.32114399999</v>
      </c>
      <c r="F32" s="243"/>
    </row>
    <row r="33" spans="1:6" s="14" customFormat="1" ht="21.95" customHeight="1">
      <c r="A33" s="15" t="s">
        <v>51</v>
      </c>
      <c r="B33" s="16" t="s">
        <v>156</v>
      </c>
      <c r="C33" s="227"/>
      <c r="D33" s="227">
        <v>27489.154213999998</v>
      </c>
      <c r="E33" s="227">
        <f t="shared" si="1"/>
        <v>27489.154213999998</v>
      </c>
      <c r="F33" s="243"/>
    </row>
    <row r="34" spans="1:6" s="24" customFormat="1" ht="21.95" customHeight="1">
      <c r="A34" s="23" t="s">
        <v>41</v>
      </c>
      <c r="B34" s="16" t="s">
        <v>157</v>
      </c>
      <c r="C34" s="228"/>
      <c r="D34" s="229">
        <f>D11-D21</f>
        <v>3011.0613610000582</v>
      </c>
      <c r="E34" s="227">
        <f t="shared" si="1"/>
        <v>3011.0613610000582</v>
      </c>
      <c r="F34" s="242"/>
    </row>
    <row r="35" spans="1:6" s="25" customFormat="1" ht="21.95" customHeight="1">
      <c r="A35" s="23" t="s">
        <v>158</v>
      </c>
      <c r="B35" s="16" t="s">
        <v>159</v>
      </c>
      <c r="C35" s="228"/>
      <c r="D35" s="228"/>
      <c r="E35" s="226">
        <f t="shared" si="1"/>
        <v>0</v>
      </c>
      <c r="F35" s="244"/>
    </row>
    <row r="36" spans="1:6" s="26" customFormat="1" ht="21.95" customHeight="1">
      <c r="A36" s="15" t="s">
        <v>8</v>
      </c>
      <c r="B36" s="16" t="s">
        <v>160</v>
      </c>
      <c r="C36" s="228"/>
      <c r="D36" s="228"/>
      <c r="E36" s="226">
        <f t="shared" si="1"/>
        <v>0</v>
      </c>
      <c r="F36" s="244"/>
    </row>
    <row r="37" spans="1:6" s="26" customFormat="1" ht="42" customHeight="1">
      <c r="A37" s="15" t="s">
        <v>16</v>
      </c>
      <c r="B37" s="16" t="s">
        <v>161</v>
      </c>
      <c r="C37" s="228"/>
      <c r="D37" s="228"/>
      <c r="E37" s="226">
        <f t="shared" si="1"/>
        <v>0</v>
      </c>
      <c r="F37" s="244"/>
    </row>
    <row r="38" spans="1:6" s="25" customFormat="1" ht="21.95" customHeight="1">
      <c r="A38" s="15" t="s">
        <v>162</v>
      </c>
      <c r="B38" s="27" t="s">
        <v>163</v>
      </c>
      <c r="C38" s="228"/>
      <c r="D38" s="228"/>
      <c r="E38" s="226">
        <f t="shared" si="1"/>
        <v>0</v>
      </c>
      <c r="F38" s="244"/>
    </row>
    <row r="39" spans="1:6" s="26" customFormat="1" ht="21.95" customHeight="1">
      <c r="A39" s="15" t="s">
        <v>8</v>
      </c>
      <c r="B39" s="16" t="s">
        <v>164</v>
      </c>
      <c r="C39" s="228"/>
      <c r="D39" s="228"/>
      <c r="E39" s="226">
        <f t="shared" si="1"/>
        <v>0</v>
      </c>
      <c r="F39" s="244"/>
    </row>
    <row r="40" spans="1:6" s="26" customFormat="1" ht="21.95" customHeight="1">
      <c r="A40" s="15" t="s">
        <v>16</v>
      </c>
      <c r="B40" s="16" t="s">
        <v>165</v>
      </c>
      <c r="C40" s="228"/>
      <c r="D40" s="228"/>
      <c r="E40" s="226">
        <f t="shared" si="1"/>
        <v>0</v>
      </c>
      <c r="F40" s="244"/>
    </row>
    <row r="41" spans="1:6" s="25" customFormat="1" ht="42" customHeight="1">
      <c r="A41" s="23" t="s">
        <v>166</v>
      </c>
      <c r="B41" s="27" t="s">
        <v>167</v>
      </c>
      <c r="C41" s="228"/>
      <c r="D41" s="228"/>
      <c r="E41" s="226">
        <f t="shared" si="1"/>
        <v>0</v>
      </c>
      <c r="F41" s="244"/>
    </row>
    <row r="42" spans="1:6" s="22" customFormat="1" ht="18.75">
      <c r="A42" s="28"/>
      <c r="B42" s="29"/>
      <c r="C42" s="230"/>
      <c r="D42" s="230"/>
      <c r="E42" s="230"/>
      <c r="F42" s="245"/>
    </row>
    <row r="43" spans="1:6" s="22" customFormat="1" ht="6" customHeight="1">
      <c r="A43" s="76"/>
      <c r="B43" s="75"/>
      <c r="C43" s="77"/>
      <c r="D43" s="77"/>
      <c r="E43" s="77"/>
      <c r="F43" s="78"/>
    </row>
    <row r="44" spans="1:6" s="22" customFormat="1" ht="36.75" customHeight="1">
      <c r="A44" s="342" t="s">
        <v>414</v>
      </c>
      <c r="B44" s="342"/>
      <c r="C44" s="342"/>
      <c r="D44" s="342"/>
      <c r="E44" s="342"/>
      <c r="F44" s="342"/>
    </row>
    <row r="45" spans="1:6" s="22" customFormat="1" ht="18.75">
      <c r="A45" s="30"/>
      <c r="B45" s="31"/>
      <c r="C45" s="32"/>
      <c r="D45" s="32"/>
      <c r="E45" s="32"/>
      <c r="F45" s="33"/>
    </row>
    <row r="46" spans="1:6" s="22" customFormat="1" ht="18.75">
      <c r="A46" s="30"/>
      <c r="B46" s="31"/>
      <c r="C46" s="32"/>
      <c r="D46" s="32"/>
      <c r="E46" s="32"/>
      <c r="F46" s="33"/>
    </row>
    <row r="47" spans="1:6" s="22" customFormat="1" ht="18.75">
      <c r="A47" s="30"/>
      <c r="B47" s="31"/>
      <c r="C47" s="32"/>
      <c r="D47" s="32"/>
      <c r="E47" s="32"/>
      <c r="F47" s="33"/>
    </row>
    <row r="48" spans="1:6" s="22" customFormat="1" ht="18.75">
      <c r="A48" s="30"/>
      <c r="B48" s="31"/>
      <c r="C48" s="32"/>
      <c r="D48" s="32"/>
      <c r="E48" s="32"/>
      <c r="F48" s="33"/>
    </row>
    <row r="49" spans="1:6" s="22" customFormat="1" ht="18.75">
      <c r="A49" s="30"/>
      <c r="B49" s="31"/>
      <c r="C49" s="32"/>
      <c r="D49" s="32"/>
      <c r="E49" s="32"/>
      <c r="F49" s="33"/>
    </row>
    <row r="50" spans="1:6" s="22" customFormat="1" ht="18.75">
      <c r="A50" s="30"/>
      <c r="B50" s="31"/>
      <c r="C50" s="32"/>
      <c r="D50" s="32"/>
      <c r="E50" s="32"/>
      <c r="F50" s="33"/>
    </row>
    <row r="51" spans="1:6" s="22" customFormat="1" ht="18.75">
      <c r="A51" s="30"/>
      <c r="B51" s="31"/>
      <c r="C51" s="32"/>
      <c r="D51" s="32"/>
      <c r="E51" s="32"/>
      <c r="F51" s="33"/>
    </row>
    <row r="52" spans="1:6" s="22" customFormat="1" ht="18.75">
      <c r="A52" s="30"/>
      <c r="B52" s="31"/>
      <c r="C52" s="32"/>
      <c r="D52" s="32"/>
      <c r="E52" s="32"/>
      <c r="F52" s="33"/>
    </row>
    <row r="53" spans="1:6" s="22" customFormat="1" ht="18.75">
      <c r="A53" s="30"/>
      <c r="B53" s="31"/>
      <c r="C53" s="32"/>
      <c r="D53" s="32"/>
      <c r="E53" s="32"/>
      <c r="F53" s="33"/>
    </row>
    <row r="54" spans="1:6" ht="24.75" customHeight="1">
      <c r="A54" s="34" t="s">
        <v>443</v>
      </c>
      <c r="C54" s="35"/>
      <c r="D54" s="35"/>
      <c r="E54" s="35"/>
    </row>
    <row r="55" spans="1:6" ht="21" customHeight="1">
      <c r="A55" s="34"/>
      <c r="B55" s="336"/>
      <c r="C55" s="336"/>
      <c r="D55" s="336"/>
      <c r="E55" s="336"/>
      <c r="F55" s="336"/>
    </row>
    <row r="56" spans="1:6" ht="6.75" customHeight="1">
      <c r="A56" s="36"/>
      <c r="B56" s="37"/>
    </row>
    <row r="60" spans="1:6" ht="20.25" customHeight="1">
      <c r="A60" s="34" t="s">
        <v>168</v>
      </c>
      <c r="C60" s="35"/>
      <c r="D60" s="35"/>
      <c r="E60" s="35"/>
    </row>
    <row r="61" spans="1:6" ht="20.25" customHeight="1">
      <c r="A61" s="34"/>
      <c r="B61" s="34" t="s">
        <v>169</v>
      </c>
      <c r="C61" s="35"/>
      <c r="D61" s="35"/>
      <c r="E61" s="35"/>
    </row>
    <row r="62" spans="1:6" s="34" customFormat="1" ht="20.25" customHeight="1">
      <c r="B62" s="34" t="s">
        <v>170</v>
      </c>
      <c r="C62" s="36"/>
      <c r="D62" s="36"/>
      <c r="E62" s="36"/>
    </row>
    <row r="64" spans="1:6" ht="18.75">
      <c r="B64" s="37" t="s">
        <v>171</v>
      </c>
    </row>
  </sheetData>
  <mergeCells count="10">
    <mergeCell ref="B55:F55"/>
    <mergeCell ref="A3:F3"/>
    <mergeCell ref="A4:F4"/>
    <mergeCell ref="D7:F7"/>
    <mergeCell ref="A8:A9"/>
    <mergeCell ref="B8:B9"/>
    <mergeCell ref="C8:C9"/>
    <mergeCell ref="D8:D9"/>
    <mergeCell ref="E8:F8"/>
    <mergeCell ref="A44:F44"/>
  </mergeCells>
  <pageMargins left="0.74" right="0.25" top="0.62" bottom="0.56000000000000005" header="0.16" footer="0.19"/>
  <pageSetup paperSize="9" scale="72" fitToHeight="0" orientation="portrait" r:id="rId1"/>
  <headerFooter alignWithMargins="0">
    <oddFooter xml:space="preserve">&amp;C&amp;".VnTime,  Italic"&amp;8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7"/>
  <sheetViews>
    <sheetView showZeros="0" view="pageBreakPreview" topLeftCell="A55" zoomScaleNormal="100" zoomScaleSheetLayoutView="100" workbookViewId="0">
      <selection activeCell="F15" sqref="F15"/>
    </sheetView>
  </sheetViews>
  <sheetFormatPr defaultRowHeight="15.75"/>
  <cols>
    <col min="1" max="1" width="5.85546875" style="42" customWidth="1"/>
    <col min="2" max="2" width="67" style="42" customWidth="1"/>
    <col min="3" max="4" width="20.140625" style="42" customWidth="1"/>
    <col min="5" max="5" width="21" style="42" customWidth="1"/>
    <col min="6" max="6" width="20.7109375" style="42" customWidth="1"/>
    <col min="7" max="7" width="13" style="42" customWidth="1"/>
    <col min="8" max="8" width="12.85546875" style="42" customWidth="1"/>
    <col min="9" max="9" width="13" style="42" hidden="1" customWidth="1"/>
    <col min="10" max="10" width="12.28515625" style="42" hidden="1" customWidth="1"/>
    <col min="11" max="11" width="17.140625" style="42" customWidth="1"/>
    <col min="12" max="12" width="13.5703125" style="42" bestFit="1" customWidth="1"/>
    <col min="13" max="256" width="9.140625" style="42"/>
    <col min="257" max="257" width="5.85546875" style="42" customWidth="1"/>
    <col min="258" max="258" width="57.28515625" style="42" customWidth="1"/>
    <col min="259" max="262" width="20.140625" style="42" customWidth="1"/>
    <col min="263" max="263" width="13" style="42" customWidth="1"/>
    <col min="264" max="264" width="11.5703125" style="42" customWidth="1"/>
    <col min="265" max="266" width="0" style="42" hidden="1" customWidth="1"/>
    <col min="267" max="512" width="9.140625" style="42"/>
    <col min="513" max="513" width="5.85546875" style="42" customWidth="1"/>
    <col min="514" max="514" width="57.28515625" style="42" customWidth="1"/>
    <col min="515" max="518" width="20.140625" style="42" customWidth="1"/>
    <col min="519" max="519" width="13" style="42" customWidth="1"/>
    <col min="520" max="520" width="11.5703125" style="42" customWidth="1"/>
    <col min="521" max="522" width="0" style="42" hidden="1" customWidth="1"/>
    <col min="523" max="768" width="9.140625" style="42"/>
    <col min="769" max="769" width="5.85546875" style="42" customWidth="1"/>
    <col min="770" max="770" width="57.28515625" style="42" customWidth="1"/>
    <col min="771" max="774" width="20.140625" style="42" customWidth="1"/>
    <col min="775" max="775" width="13" style="42" customWidth="1"/>
    <col min="776" max="776" width="11.5703125" style="42" customWidth="1"/>
    <col min="777" max="778" width="0" style="42" hidden="1" customWidth="1"/>
    <col min="779" max="1024" width="9.140625" style="42"/>
    <col min="1025" max="1025" width="5.85546875" style="42" customWidth="1"/>
    <col min="1026" max="1026" width="57.28515625" style="42" customWidth="1"/>
    <col min="1027" max="1030" width="20.140625" style="42" customWidth="1"/>
    <col min="1031" max="1031" width="13" style="42" customWidth="1"/>
    <col min="1032" max="1032" width="11.5703125" style="42" customWidth="1"/>
    <col min="1033" max="1034" width="0" style="42" hidden="1" customWidth="1"/>
    <col min="1035" max="1280" width="9.140625" style="42"/>
    <col min="1281" max="1281" width="5.85546875" style="42" customWidth="1"/>
    <col min="1282" max="1282" width="57.28515625" style="42" customWidth="1"/>
    <col min="1283" max="1286" width="20.140625" style="42" customWidth="1"/>
    <col min="1287" max="1287" width="13" style="42" customWidth="1"/>
    <col min="1288" max="1288" width="11.5703125" style="42" customWidth="1"/>
    <col min="1289" max="1290" width="0" style="42" hidden="1" customWidth="1"/>
    <col min="1291" max="1536" width="9.140625" style="42"/>
    <col min="1537" max="1537" width="5.85546875" style="42" customWidth="1"/>
    <col min="1538" max="1538" width="57.28515625" style="42" customWidth="1"/>
    <col min="1539" max="1542" width="20.140625" style="42" customWidth="1"/>
    <col min="1543" max="1543" width="13" style="42" customWidth="1"/>
    <col min="1544" max="1544" width="11.5703125" style="42" customWidth="1"/>
    <col min="1545" max="1546" width="0" style="42" hidden="1" customWidth="1"/>
    <col min="1547" max="1792" width="9.140625" style="42"/>
    <col min="1793" max="1793" width="5.85546875" style="42" customWidth="1"/>
    <col min="1794" max="1794" width="57.28515625" style="42" customWidth="1"/>
    <col min="1795" max="1798" width="20.140625" style="42" customWidth="1"/>
    <col min="1799" max="1799" width="13" style="42" customWidth="1"/>
    <col min="1800" max="1800" width="11.5703125" style="42" customWidth="1"/>
    <col min="1801" max="1802" width="0" style="42" hidden="1" customWidth="1"/>
    <col min="1803" max="2048" width="9.140625" style="42"/>
    <col min="2049" max="2049" width="5.85546875" style="42" customWidth="1"/>
    <col min="2050" max="2050" width="57.28515625" style="42" customWidth="1"/>
    <col min="2051" max="2054" width="20.140625" style="42" customWidth="1"/>
    <col min="2055" max="2055" width="13" style="42" customWidth="1"/>
    <col min="2056" max="2056" width="11.5703125" style="42" customWidth="1"/>
    <col min="2057" max="2058" width="0" style="42" hidden="1" customWidth="1"/>
    <col min="2059" max="2304" width="9.140625" style="42"/>
    <col min="2305" max="2305" width="5.85546875" style="42" customWidth="1"/>
    <col min="2306" max="2306" width="57.28515625" style="42" customWidth="1"/>
    <col min="2307" max="2310" width="20.140625" style="42" customWidth="1"/>
    <col min="2311" max="2311" width="13" style="42" customWidth="1"/>
    <col min="2312" max="2312" width="11.5703125" style="42" customWidth="1"/>
    <col min="2313" max="2314" width="0" style="42" hidden="1" customWidth="1"/>
    <col min="2315" max="2560" width="9.140625" style="42"/>
    <col min="2561" max="2561" width="5.85546875" style="42" customWidth="1"/>
    <col min="2562" max="2562" width="57.28515625" style="42" customWidth="1"/>
    <col min="2563" max="2566" width="20.140625" style="42" customWidth="1"/>
    <col min="2567" max="2567" width="13" style="42" customWidth="1"/>
    <col min="2568" max="2568" width="11.5703125" style="42" customWidth="1"/>
    <col min="2569" max="2570" width="0" style="42" hidden="1" customWidth="1"/>
    <col min="2571" max="2816" width="9.140625" style="42"/>
    <col min="2817" max="2817" width="5.85546875" style="42" customWidth="1"/>
    <col min="2818" max="2818" width="57.28515625" style="42" customWidth="1"/>
    <col min="2819" max="2822" width="20.140625" style="42" customWidth="1"/>
    <col min="2823" max="2823" width="13" style="42" customWidth="1"/>
    <col min="2824" max="2824" width="11.5703125" style="42" customWidth="1"/>
    <col min="2825" max="2826" width="0" style="42" hidden="1" customWidth="1"/>
    <col min="2827" max="3072" width="9.140625" style="42"/>
    <col min="3073" max="3073" width="5.85546875" style="42" customWidth="1"/>
    <col min="3074" max="3074" width="57.28515625" style="42" customWidth="1"/>
    <col min="3075" max="3078" width="20.140625" style="42" customWidth="1"/>
    <col min="3079" max="3079" width="13" style="42" customWidth="1"/>
    <col min="3080" max="3080" width="11.5703125" style="42" customWidth="1"/>
    <col min="3081" max="3082" width="0" style="42" hidden="1" customWidth="1"/>
    <col min="3083" max="3328" width="9.140625" style="42"/>
    <col min="3329" max="3329" width="5.85546875" style="42" customWidth="1"/>
    <col min="3330" max="3330" width="57.28515625" style="42" customWidth="1"/>
    <col min="3331" max="3334" width="20.140625" style="42" customWidth="1"/>
    <col min="3335" max="3335" width="13" style="42" customWidth="1"/>
    <col min="3336" max="3336" width="11.5703125" style="42" customWidth="1"/>
    <col min="3337" max="3338" width="0" style="42" hidden="1" customWidth="1"/>
    <col min="3339" max="3584" width="9.140625" style="42"/>
    <col min="3585" max="3585" width="5.85546875" style="42" customWidth="1"/>
    <col min="3586" max="3586" width="57.28515625" style="42" customWidth="1"/>
    <col min="3587" max="3590" width="20.140625" style="42" customWidth="1"/>
    <col min="3591" max="3591" width="13" style="42" customWidth="1"/>
    <col min="3592" max="3592" width="11.5703125" style="42" customWidth="1"/>
    <col min="3593" max="3594" width="0" style="42" hidden="1" customWidth="1"/>
    <col min="3595" max="3840" width="9.140625" style="42"/>
    <col min="3841" max="3841" width="5.85546875" style="42" customWidth="1"/>
    <col min="3842" max="3842" width="57.28515625" style="42" customWidth="1"/>
    <col min="3843" max="3846" width="20.140625" style="42" customWidth="1"/>
    <col min="3847" max="3847" width="13" style="42" customWidth="1"/>
    <col min="3848" max="3848" width="11.5703125" style="42" customWidth="1"/>
    <col min="3849" max="3850" width="0" style="42" hidden="1" customWidth="1"/>
    <col min="3851" max="4096" width="9.140625" style="42"/>
    <col min="4097" max="4097" width="5.85546875" style="42" customWidth="1"/>
    <col min="4098" max="4098" width="57.28515625" style="42" customWidth="1"/>
    <col min="4099" max="4102" width="20.140625" style="42" customWidth="1"/>
    <col min="4103" max="4103" width="13" style="42" customWidth="1"/>
    <col min="4104" max="4104" width="11.5703125" style="42" customWidth="1"/>
    <col min="4105" max="4106" width="0" style="42" hidden="1" customWidth="1"/>
    <col min="4107" max="4352" width="9.140625" style="42"/>
    <col min="4353" max="4353" width="5.85546875" style="42" customWidth="1"/>
    <col min="4354" max="4354" width="57.28515625" style="42" customWidth="1"/>
    <col min="4355" max="4358" width="20.140625" style="42" customWidth="1"/>
    <col min="4359" max="4359" width="13" style="42" customWidth="1"/>
    <col min="4360" max="4360" width="11.5703125" style="42" customWidth="1"/>
    <col min="4361" max="4362" width="0" style="42" hidden="1" customWidth="1"/>
    <col min="4363" max="4608" width="9.140625" style="42"/>
    <col min="4609" max="4609" width="5.85546875" style="42" customWidth="1"/>
    <col min="4610" max="4610" width="57.28515625" style="42" customWidth="1"/>
    <col min="4611" max="4614" width="20.140625" style="42" customWidth="1"/>
    <col min="4615" max="4615" width="13" style="42" customWidth="1"/>
    <col min="4616" max="4616" width="11.5703125" style="42" customWidth="1"/>
    <col min="4617" max="4618" width="0" style="42" hidden="1" customWidth="1"/>
    <col min="4619" max="4864" width="9.140625" style="42"/>
    <col min="4865" max="4865" width="5.85546875" style="42" customWidth="1"/>
    <col min="4866" max="4866" width="57.28515625" style="42" customWidth="1"/>
    <col min="4867" max="4870" width="20.140625" style="42" customWidth="1"/>
    <col min="4871" max="4871" width="13" style="42" customWidth="1"/>
    <col min="4872" max="4872" width="11.5703125" style="42" customWidth="1"/>
    <col min="4873" max="4874" width="0" style="42" hidden="1" customWidth="1"/>
    <col min="4875" max="5120" width="9.140625" style="42"/>
    <col min="5121" max="5121" width="5.85546875" style="42" customWidth="1"/>
    <col min="5122" max="5122" width="57.28515625" style="42" customWidth="1"/>
    <col min="5123" max="5126" width="20.140625" style="42" customWidth="1"/>
    <col min="5127" max="5127" width="13" style="42" customWidth="1"/>
    <col min="5128" max="5128" width="11.5703125" style="42" customWidth="1"/>
    <col min="5129" max="5130" width="0" style="42" hidden="1" customWidth="1"/>
    <col min="5131" max="5376" width="9.140625" style="42"/>
    <col min="5377" max="5377" width="5.85546875" style="42" customWidth="1"/>
    <col min="5378" max="5378" width="57.28515625" style="42" customWidth="1"/>
    <col min="5379" max="5382" width="20.140625" style="42" customWidth="1"/>
    <col min="5383" max="5383" width="13" style="42" customWidth="1"/>
    <col min="5384" max="5384" width="11.5703125" style="42" customWidth="1"/>
    <col min="5385" max="5386" width="0" style="42" hidden="1" customWidth="1"/>
    <col min="5387" max="5632" width="9.140625" style="42"/>
    <col min="5633" max="5633" width="5.85546875" style="42" customWidth="1"/>
    <col min="5634" max="5634" width="57.28515625" style="42" customWidth="1"/>
    <col min="5635" max="5638" width="20.140625" style="42" customWidth="1"/>
    <col min="5639" max="5639" width="13" style="42" customWidth="1"/>
    <col min="5640" max="5640" width="11.5703125" style="42" customWidth="1"/>
    <col min="5641" max="5642" width="0" style="42" hidden="1" customWidth="1"/>
    <col min="5643" max="5888" width="9.140625" style="42"/>
    <col min="5889" max="5889" width="5.85546875" style="42" customWidth="1"/>
    <col min="5890" max="5890" width="57.28515625" style="42" customWidth="1"/>
    <col min="5891" max="5894" width="20.140625" style="42" customWidth="1"/>
    <col min="5895" max="5895" width="13" style="42" customWidth="1"/>
    <col min="5896" max="5896" width="11.5703125" style="42" customWidth="1"/>
    <col min="5897" max="5898" width="0" style="42" hidden="1" customWidth="1"/>
    <col min="5899" max="6144" width="9.140625" style="42"/>
    <col min="6145" max="6145" width="5.85546875" style="42" customWidth="1"/>
    <col min="6146" max="6146" width="57.28515625" style="42" customWidth="1"/>
    <col min="6147" max="6150" width="20.140625" style="42" customWidth="1"/>
    <col min="6151" max="6151" width="13" style="42" customWidth="1"/>
    <col min="6152" max="6152" width="11.5703125" style="42" customWidth="1"/>
    <col min="6153" max="6154" width="0" style="42" hidden="1" customWidth="1"/>
    <col min="6155" max="6400" width="9.140625" style="42"/>
    <col min="6401" max="6401" width="5.85546875" style="42" customWidth="1"/>
    <col min="6402" max="6402" width="57.28515625" style="42" customWidth="1"/>
    <col min="6403" max="6406" width="20.140625" style="42" customWidth="1"/>
    <col min="6407" max="6407" width="13" style="42" customWidth="1"/>
    <col min="6408" max="6408" width="11.5703125" style="42" customWidth="1"/>
    <col min="6409" max="6410" width="0" style="42" hidden="1" customWidth="1"/>
    <col min="6411" max="6656" width="9.140625" style="42"/>
    <col min="6657" max="6657" width="5.85546875" style="42" customWidth="1"/>
    <col min="6658" max="6658" width="57.28515625" style="42" customWidth="1"/>
    <col min="6659" max="6662" width="20.140625" style="42" customWidth="1"/>
    <col min="6663" max="6663" width="13" style="42" customWidth="1"/>
    <col min="6664" max="6664" width="11.5703125" style="42" customWidth="1"/>
    <col min="6665" max="6666" width="0" style="42" hidden="1" customWidth="1"/>
    <col min="6667" max="6912" width="9.140625" style="42"/>
    <col min="6913" max="6913" width="5.85546875" style="42" customWidth="1"/>
    <col min="6914" max="6914" width="57.28515625" style="42" customWidth="1"/>
    <col min="6915" max="6918" width="20.140625" style="42" customWidth="1"/>
    <col min="6919" max="6919" width="13" style="42" customWidth="1"/>
    <col min="6920" max="6920" width="11.5703125" style="42" customWidth="1"/>
    <col min="6921" max="6922" width="0" style="42" hidden="1" customWidth="1"/>
    <col min="6923" max="7168" width="9.140625" style="42"/>
    <col min="7169" max="7169" width="5.85546875" style="42" customWidth="1"/>
    <col min="7170" max="7170" width="57.28515625" style="42" customWidth="1"/>
    <col min="7171" max="7174" width="20.140625" style="42" customWidth="1"/>
    <col min="7175" max="7175" width="13" style="42" customWidth="1"/>
    <col min="7176" max="7176" width="11.5703125" style="42" customWidth="1"/>
    <col min="7177" max="7178" width="0" style="42" hidden="1" customWidth="1"/>
    <col min="7179" max="7424" width="9.140625" style="42"/>
    <col min="7425" max="7425" width="5.85546875" style="42" customWidth="1"/>
    <col min="7426" max="7426" width="57.28515625" style="42" customWidth="1"/>
    <col min="7427" max="7430" width="20.140625" style="42" customWidth="1"/>
    <col min="7431" max="7431" width="13" style="42" customWidth="1"/>
    <col min="7432" max="7432" width="11.5703125" style="42" customWidth="1"/>
    <col min="7433" max="7434" width="0" style="42" hidden="1" customWidth="1"/>
    <col min="7435" max="7680" width="9.140625" style="42"/>
    <col min="7681" max="7681" width="5.85546875" style="42" customWidth="1"/>
    <col min="7682" max="7682" width="57.28515625" style="42" customWidth="1"/>
    <col min="7683" max="7686" width="20.140625" style="42" customWidth="1"/>
    <col min="7687" max="7687" width="13" style="42" customWidth="1"/>
    <col min="7688" max="7688" width="11.5703125" style="42" customWidth="1"/>
    <col min="7689" max="7690" width="0" style="42" hidden="1" customWidth="1"/>
    <col min="7691" max="7936" width="9.140625" style="42"/>
    <col min="7937" max="7937" width="5.85546875" style="42" customWidth="1"/>
    <col min="7938" max="7938" width="57.28515625" style="42" customWidth="1"/>
    <col min="7939" max="7942" width="20.140625" style="42" customWidth="1"/>
    <col min="7943" max="7943" width="13" style="42" customWidth="1"/>
    <col min="7944" max="7944" width="11.5703125" style="42" customWidth="1"/>
    <col min="7945" max="7946" width="0" style="42" hidden="1" customWidth="1"/>
    <col min="7947" max="8192" width="9.140625" style="42"/>
    <col min="8193" max="8193" width="5.85546875" style="42" customWidth="1"/>
    <col min="8194" max="8194" width="57.28515625" style="42" customWidth="1"/>
    <col min="8195" max="8198" width="20.140625" style="42" customWidth="1"/>
    <col min="8199" max="8199" width="13" style="42" customWidth="1"/>
    <col min="8200" max="8200" width="11.5703125" style="42" customWidth="1"/>
    <col min="8201" max="8202" width="0" style="42" hidden="1" customWidth="1"/>
    <col min="8203" max="8448" width="9.140625" style="42"/>
    <col min="8449" max="8449" width="5.85546875" style="42" customWidth="1"/>
    <col min="8450" max="8450" width="57.28515625" style="42" customWidth="1"/>
    <col min="8451" max="8454" width="20.140625" style="42" customWidth="1"/>
    <col min="8455" max="8455" width="13" style="42" customWidth="1"/>
    <col min="8456" max="8456" width="11.5703125" style="42" customWidth="1"/>
    <col min="8457" max="8458" width="0" style="42" hidden="1" customWidth="1"/>
    <col min="8459" max="8704" width="9.140625" style="42"/>
    <col min="8705" max="8705" width="5.85546875" style="42" customWidth="1"/>
    <col min="8706" max="8706" width="57.28515625" style="42" customWidth="1"/>
    <col min="8707" max="8710" width="20.140625" style="42" customWidth="1"/>
    <col min="8711" max="8711" width="13" style="42" customWidth="1"/>
    <col min="8712" max="8712" width="11.5703125" style="42" customWidth="1"/>
    <col min="8713" max="8714" width="0" style="42" hidden="1" customWidth="1"/>
    <col min="8715" max="8960" width="9.140625" style="42"/>
    <col min="8961" max="8961" width="5.85546875" style="42" customWidth="1"/>
    <col min="8962" max="8962" width="57.28515625" style="42" customWidth="1"/>
    <col min="8963" max="8966" width="20.140625" style="42" customWidth="1"/>
    <col min="8967" max="8967" width="13" style="42" customWidth="1"/>
    <col min="8968" max="8968" width="11.5703125" style="42" customWidth="1"/>
    <col min="8969" max="8970" width="0" style="42" hidden="1" customWidth="1"/>
    <col min="8971" max="9216" width="9.140625" style="42"/>
    <col min="9217" max="9217" width="5.85546875" style="42" customWidth="1"/>
    <col min="9218" max="9218" width="57.28515625" style="42" customWidth="1"/>
    <col min="9219" max="9222" width="20.140625" style="42" customWidth="1"/>
    <col min="9223" max="9223" width="13" style="42" customWidth="1"/>
    <col min="9224" max="9224" width="11.5703125" style="42" customWidth="1"/>
    <col min="9225" max="9226" width="0" style="42" hidden="1" customWidth="1"/>
    <col min="9227" max="9472" width="9.140625" style="42"/>
    <col min="9473" max="9473" width="5.85546875" style="42" customWidth="1"/>
    <col min="9474" max="9474" width="57.28515625" style="42" customWidth="1"/>
    <col min="9475" max="9478" width="20.140625" style="42" customWidth="1"/>
    <col min="9479" max="9479" width="13" style="42" customWidth="1"/>
    <col min="9480" max="9480" width="11.5703125" style="42" customWidth="1"/>
    <col min="9481" max="9482" width="0" style="42" hidden="1" customWidth="1"/>
    <col min="9483" max="9728" width="9.140625" style="42"/>
    <col min="9729" max="9729" width="5.85546875" style="42" customWidth="1"/>
    <col min="9730" max="9730" width="57.28515625" style="42" customWidth="1"/>
    <col min="9731" max="9734" width="20.140625" style="42" customWidth="1"/>
    <col min="9735" max="9735" width="13" style="42" customWidth="1"/>
    <col min="9736" max="9736" width="11.5703125" style="42" customWidth="1"/>
    <col min="9737" max="9738" width="0" style="42" hidden="1" customWidth="1"/>
    <col min="9739" max="9984" width="9.140625" style="42"/>
    <col min="9985" max="9985" width="5.85546875" style="42" customWidth="1"/>
    <col min="9986" max="9986" width="57.28515625" style="42" customWidth="1"/>
    <col min="9987" max="9990" width="20.140625" style="42" customWidth="1"/>
    <col min="9991" max="9991" width="13" style="42" customWidth="1"/>
    <col min="9992" max="9992" width="11.5703125" style="42" customWidth="1"/>
    <col min="9993" max="9994" width="0" style="42" hidden="1" customWidth="1"/>
    <col min="9995" max="10240" width="9.140625" style="42"/>
    <col min="10241" max="10241" width="5.85546875" style="42" customWidth="1"/>
    <col min="10242" max="10242" width="57.28515625" style="42" customWidth="1"/>
    <col min="10243" max="10246" width="20.140625" style="42" customWidth="1"/>
    <col min="10247" max="10247" width="13" style="42" customWidth="1"/>
    <col min="10248" max="10248" width="11.5703125" style="42" customWidth="1"/>
    <col min="10249" max="10250" width="0" style="42" hidden="1" customWidth="1"/>
    <col min="10251" max="10496" width="9.140625" style="42"/>
    <col min="10497" max="10497" width="5.85546875" style="42" customWidth="1"/>
    <col min="10498" max="10498" width="57.28515625" style="42" customWidth="1"/>
    <col min="10499" max="10502" width="20.140625" style="42" customWidth="1"/>
    <col min="10503" max="10503" width="13" style="42" customWidth="1"/>
    <col min="10504" max="10504" width="11.5703125" style="42" customWidth="1"/>
    <col min="10505" max="10506" width="0" style="42" hidden="1" customWidth="1"/>
    <col min="10507" max="10752" width="9.140625" style="42"/>
    <col min="10753" max="10753" width="5.85546875" style="42" customWidth="1"/>
    <col min="10754" max="10754" width="57.28515625" style="42" customWidth="1"/>
    <col min="10755" max="10758" width="20.140625" style="42" customWidth="1"/>
    <col min="10759" max="10759" width="13" style="42" customWidth="1"/>
    <col min="10760" max="10760" width="11.5703125" style="42" customWidth="1"/>
    <col min="10761" max="10762" width="0" style="42" hidden="1" customWidth="1"/>
    <col min="10763" max="11008" width="9.140625" style="42"/>
    <col min="11009" max="11009" width="5.85546875" style="42" customWidth="1"/>
    <col min="11010" max="11010" width="57.28515625" style="42" customWidth="1"/>
    <col min="11011" max="11014" width="20.140625" style="42" customWidth="1"/>
    <col min="11015" max="11015" width="13" style="42" customWidth="1"/>
    <col min="11016" max="11016" width="11.5703125" style="42" customWidth="1"/>
    <col min="11017" max="11018" width="0" style="42" hidden="1" customWidth="1"/>
    <col min="11019" max="11264" width="9.140625" style="42"/>
    <col min="11265" max="11265" width="5.85546875" style="42" customWidth="1"/>
    <col min="11266" max="11266" width="57.28515625" style="42" customWidth="1"/>
    <col min="11267" max="11270" width="20.140625" style="42" customWidth="1"/>
    <col min="11271" max="11271" width="13" style="42" customWidth="1"/>
    <col min="11272" max="11272" width="11.5703125" style="42" customWidth="1"/>
    <col min="11273" max="11274" width="0" style="42" hidden="1" customWidth="1"/>
    <col min="11275" max="11520" width="9.140625" style="42"/>
    <col min="11521" max="11521" width="5.85546875" style="42" customWidth="1"/>
    <col min="11522" max="11522" width="57.28515625" style="42" customWidth="1"/>
    <col min="11523" max="11526" width="20.140625" style="42" customWidth="1"/>
    <col min="11527" max="11527" width="13" style="42" customWidth="1"/>
    <col min="11528" max="11528" width="11.5703125" style="42" customWidth="1"/>
    <col min="11529" max="11530" width="0" style="42" hidden="1" customWidth="1"/>
    <col min="11531" max="11776" width="9.140625" style="42"/>
    <col min="11777" max="11777" width="5.85546875" style="42" customWidth="1"/>
    <col min="11778" max="11778" width="57.28515625" style="42" customWidth="1"/>
    <col min="11779" max="11782" width="20.140625" style="42" customWidth="1"/>
    <col min="11783" max="11783" width="13" style="42" customWidth="1"/>
    <col min="11784" max="11784" width="11.5703125" style="42" customWidth="1"/>
    <col min="11785" max="11786" width="0" style="42" hidden="1" customWidth="1"/>
    <col min="11787" max="12032" width="9.140625" style="42"/>
    <col min="12033" max="12033" width="5.85546875" style="42" customWidth="1"/>
    <col min="12034" max="12034" width="57.28515625" style="42" customWidth="1"/>
    <col min="12035" max="12038" width="20.140625" style="42" customWidth="1"/>
    <col min="12039" max="12039" width="13" style="42" customWidth="1"/>
    <col min="12040" max="12040" width="11.5703125" style="42" customWidth="1"/>
    <col min="12041" max="12042" width="0" style="42" hidden="1" customWidth="1"/>
    <col min="12043" max="12288" width="9.140625" style="42"/>
    <col min="12289" max="12289" width="5.85546875" style="42" customWidth="1"/>
    <col min="12290" max="12290" width="57.28515625" style="42" customWidth="1"/>
    <col min="12291" max="12294" width="20.140625" style="42" customWidth="1"/>
    <col min="12295" max="12295" width="13" style="42" customWidth="1"/>
    <col min="12296" max="12296" width="11.5703125" style="42" customWidth="1"/>
    <col min="12297" max="12298" width="0" style="42" hidden="1" customWidth="1"/>
    <col min="12299" max="12544" width="9.140625" style="42"/>
    <col min="12545" max="12545" width="5.85546875" style="42" customWidth="1"/>
    <col min="12546" max="12546" width="57.28515625" style="42" customWidth="1"/>
    <col min="12547" max="12550" width="20.140625" style="42" customWidth="1"/>
    <col min="12551" max="12551" width="13" style="42" customWidth="1"/>
    <col min="12552" max="12552" width="11.5703125" style="42" customWidth="1"/>
    <col min="12553" max="12554" width="0" style="42" hidden="1" customWidth="1"/>
    <col min="12555" max="12800" width="9.140625" style="42"/>
    <col min="12801" max="12801" width="5.85546875" style="42" customWidth="1"/>
    <col min="12802" max="12802" width="57.28515625" style="42" customWidth="1"/>
    <col min="12803" max="12806" width="20.140625" style="42" customWidth="1"/>
    <col min="12807" max="12807" width="13" style="42" customWidth="1"/>
    <col min="12808" max="12808" width="11.5703125" style="42" customWidth="1"/>
    <col min="12809" max="12810" width="0" style="42" hidden="1" customWidth="1"/>
    <col min="12811" max="13056" width="9.140625" style="42"/>
    <col min="13057" max="13057" width="5.85546875" style="42" customWidth="1"/>
    <col min="13058" max="13058" width="57.28515625" style="42" customWidth="1"/>
    <col min="13059" max="13062" width="20.140625" style="42" customWidth="1"/>
    <col min="13063" max="13063" width="13" style="42" customWidth="1"/>
    <col min="13064" max="13064" width="11.5703125" style="42" customWidth="1"/>
    <col min="13065" max="13066" width="0" style="42" hidden="1" customWidth="1"/>
    <col min="13067" max="13312" width="9.140625" style="42"/>
    <col min="13313" max="13313" width="5.85546875" style="42" customWidth="1"/>
    <col min="13314" max="13314" width="57.28515625" style="42" customWidth="1"/>
    <col min="13315" max="13318" width="20.140625" style="42" customWidth="1"/>
    <col min="13319" max="13319" width="13" style="42" customWidth="1"/>
    <col min="13320" max="13320" width="11.5703125" style="42" customWidth="1"/>
    <col min="13321" max="13322" width="0" style="42" hidden="1" customWidth="1"/>
    <col min="13323" max="13568" width="9.140625" style="42"/>
    <col min="13569" max="13569" width="5.85546875" style="42" customWidth="1"/>
    <col min="13570" max="13570" width="57.28515625" style="42" customWidth="1"/>
    <col min="13571" max="13574" width="20.140625" style="42" customWidth="1"/>
    <col min="13575" max="13575" width="13" style="42" customWidth="1"/>
    <col min="13576" max="13576" width="11.5703125" style="42" customWidth="1"/>
    <col min="13577" max="13578" width="0" style="42" hidden="1" customWidth="1"/>
    <col min="13579" max="13824" width="9.140625" style="42"/>
    <col min="13825" max="13825" width="5.85546875" style="42" customWidth="1"/>
    <col min="13826" max="13826" width="57.28515625" style="42" customWidth="1"/>
    <col min="13827" max="13830" width="20.140625" style="42" customWidth="1"/>
    <col min="13831" max="13831" width="13" style="42" customWidth="1"/>
    <col min="13832" max="13832" width="11.5703125" style="42" customWidth="1"/>
    <col min="13833" max="13834" width="0" style="42" hidden="1" customWidth="1"/>
    <col min="13835" max="14080" width="9.140625" style="42"/>
    <col min="14081" max="14081" width="5.85546875" style="42" customWidth="1"/>
    <col min="14082" max="14082" width="57.28515625" style="42" customWidth="1"/>
    <col min="14083" max="14086" width="20.140625" style="42" customWidth="1"/>
    <col min="14087" max="14087" width="13" style="42" customWidth="1"/>
    <col min="14088" max="14088" width="11.5703125" style="42" customWidth="1"/>
    <col min="14089" max="14090" width="0" style="42" hidden="1" customWidth="1"/>
    <col min="14091" max="14336" width="9.140625" style="42"/>
    <col min="14337" max="14337" width="5.85546875" style="42" customWidth="1"/>
    <col min="14338" max="14338" width="57.28515625" style="42" customWidth="1"/>
    <col min="14339" max="14342" width="20.140625" style="42" customWidth="1"/>
    <col min="14343" max="14343" width="13" style="42" customWidth="1"/>
    <col min="14344" max="14344" width="11.5703125" style="42" customWidth="1"/>
    <col min="14345" max="14346" width="0" style="42" hidden="1" customWidth="1"/>
    <col min="14347" max="14592" width="9.140625" style="42"/>
    <col min="14593" max="14593" width="5.85546875" style="42" customWidth="1"/>
    <col min="14594" max="14594" width="57.28515625" style="42" customWidth="1"/>
    <col min="14595" max="14598" width="20.140625" style="42" customWidth="1"/>
    <col min="14599" max="14599" width="13" style="42" customWidth="1"/>
    <col min="14600" max="14600" width="11.5703125" style="42" customWidth="1"/>
    <col min="14601" max="14602" width="0" style="42" hidden="1" customWidth="1"/>
    <col min="14603" max="14848" width="9.140625" style="42"/>
    <col min="14849" max="14849" width="5.85546875" style="42" customWidth="1"/>
    <col min="14850" max="14850" width="57.28515625" style="42" customWidth="1"/>
    <col min="14851" max="14854" width="20.140625" style="42" customWidth="1"/>
    <col min="14855" max="14855" width="13" style="42" customWidth="1"/>
    <col min="14856" max="14856" width="11.5703125" style="42" customWidth="1"/>
    <col min="14857" max="14858" width="0" style="42" hidden="1" customWidth="1"/>
    <col min="14859" max="15104" width="9.140625" style="42"/>
    <col min="15105" max="15105" width="5.85546875" style="42" customWidth="1"/>
    <col min="15106" max="15106" width="57.28515625" style="42" customWidth="1"/>
    <col min="15107" max="15110" width="20.140625" style="42" customWidth="1"/>
    <col min="15111" max="15111" width="13" style="42" customWidth="1"/>
    <col min="15112" max="15112" width="11.5703125" style="42" customWidth="1"/>
    <col min="15113" max="15114" width="0" style="42" hidden="1" customWidth="1"/>
    <col min="15115" max="15360" width="9.140625" style="42"/>
    <col min="15361" max="15361" width="5.85546875" style="42" customWidth="1"/>
    <col min="15362" max="15362" width="57.28515625" style="42" customWidth="1"/>
    <col min="15363" max="15366" width="20.140625" style="42" customWidth="1"/>
    <col min="15367" max="15367" width="13" style="42" customWidth="1"/>
    <col min="15368" max="15368" width="11.5703125" style="42" customWidth="1"/>
    <col min="15369" max="15370" width="0" style="42" hidden="1" customWidth="1"/>
    <col min="15371" max="15616" width="9.140625" style="42"/>
    <col min="15617" max="15617" width="5.85546875" style="42" customWidth="1"/>
    <col min="15618" max="15618" width="57.28515625" style="42" customWidth="1"/>
    <col min="15619" max="15622" width="20.140625" style="42" customWidth="1"/>
    <col min="15623" max="15623" width="13" style="42" customWidth="1"/>
    <col min="15624" max="15624" width="11.5703125" style="42" customWidth="1"/>
    <col min="15625" max="15626" width="0" style="42" hidden="1" customWidth="1"/>
    <col min="15627" max="15872" width="9.140625" style="42"/>
    <col min="15873" max="15873" width="5.85546875" style="42" customWidth="1"/>
    <col min="15874" max="15874" width="57.28515625" style="42" customWidth="1"/>
    <col min="15875" max="15878" width="20.140625" style="42" customWidth="1"/>
    <col min="15879" max="15879" width="13" style="42" customWidth="1"/>
    <col min="15880" max="15880" width="11.5703125" style="42" customWidth="1"/>
    <col min="15881" max="15882" width="0" style="42" hidden="1" customWidth="1"/>
    <col min="15883" max="16128" width="9.140625" style="42"/>
    <col min="16129" max="16129" width="5.85546875" style="42" customWidth="1"/>
    <col min="16130" max="16130" width="57.28515625" style="42" customWidth="1"/>
    <col min="16131" max="16134" width="20.140625" style="42" customWidth="1"/>
    <col min="16135" max="16135" width="13" style="42" customWidth="1"/>
    <col min="16136" max="16136" width="11.5703125" style="42" customWidth="1"/>
    <col min="16137" max="16138" width="0" style="42" hidden="1" customWidth="1"/>
    <col min="16139" max="16384" width="9.140625" style="42"/>
  </cols>
  <sheetData>
    <row r="1" spans="1:12" ht="21" customHeight="1">
      <c r="A1" s="107" t="s">
        <v>173</v>
      </c>
      <c r="B1" s="39"/>
      <c r="C1" s="40"/>
      <c r="D1" s="40"/>
      <c r="E1" s="40"/>
      <c r="F1" s="40"/>
      <c r="G1" s="41"/>
    </row>
    <row r="2" spans="1:12" ht="10.5" customHeight="1">
      <c r="A2" s="38"/>
      <c r="B2" s="38"/>
      <c r="C2" s="40"/>
      <c r="D2" s="40"/>
      <c r="E2" s="40"/>
      <c r="F2" s="40"/>
      <c r="G2" s="40"/>
      <c r="H2" s="40"/>
    </row>
    <row r="3" spans="1:12" ht="28.5" customHeight="1">
      <c r="A3" s="344" t="s">
        <v>436</v>
      </c>
      <c r="B3" s="344"/>
      <c r="C3" s="344"/>
      <c r="D3" s="344"/>
      <c r="E3" s="344"/>
      <c r="F3" s="344"/>
      <c r="G3" s="344"/>
      <c r="H3" s="344"/>
    </row>
    <row r="4" spans="1:12" ht="16.5" customHeight="1">
      <c r="A4" s="345" t="s">
        <v>437</v>
      </c>
      <c r="B4" s="345"/>
      <c r="C4" s="345"/>
      <c r="D4" s="345"/>
      <c r="E4" s="345"/>
      <c r="F4" s="345"/>
      <c r="G4" s="345"/>
      <c r="H4" s="345"/>
    </row>
    <row r="5" spans="1:12" ht="6.75" customHeight="1">
      <c r="A5" s="43"/>
      <c r="B5" s="43"/>
      <c r="C5" s="40"/>
      <c r="D5" s="40"/>
      <c r="E5" s="40"/>
      <c r="F5" s="40"/>
      <c r="G5" s="349" t="s">
        <v>440</v>
      </c>
      <c r="H5" s="349"/>
    </row>
    <row r="6" spans="1:12" ht="19.5" customHeight="1" thickBot="1">
      <c r="A6" s="44"/>
      <c r="B6" s="44"/>
      <c r="C6" s="45"/>
      <c r="D6" s="45"/>
      <c r="E6" s="45"/>
      <c r="F6" s="45"/>
      <c r="G6" s="350"/>
      <c r="H6" s="350"/>
    </row>
    <row r="7" spans="1:12" s="49" customFormat="1" ht="22.5" customHeight="1">
      <c r="A7" s="346" t="s">
        <v>134</v>
      </c>
      <c r="B7" s="347" t="s">
        <v>43</v>
      </c>
      <c r="C7" s="348" t="s">
        <v>3</v>
      </c>
      <c r="D7" s="348"/>
      <c r="E7" s="348" t="s">
        <v>4</v>
      </c>
      <c r="F7" s="348"/>
      <c r="G7" s="348" t="s">
        <v>5</v>
      </c>
      <c r="H7" s="348"/>
      <c r="I7" s="47"/>
      <c r="J7" s="48"/>
      <c r="L7" s="50" t="s">
        <v>3</v>
      </c>
    </row>
    <row r="8" spans="1:12" s="49" customFormat="1" ht="44.25" customHeight="1">
      <c r="A8" s="346"/>
      <c r="B8" s="347"/>
      <c r="C8" s="98" t="s">
        <v>174</v>
      </c>
      <c r="D8" s="98" t="s">
        <v>432</v>
      </c>
      <c r="E8" s="98" t="s">
        <v>174</v>
      </c>
      <c r="F8" s="98" t="s">
        <v>432</v>
      </c>
      <c r="G8" s="98" t="s">
        <v>174</v>
      </c>
      <c r="H8" s="98" t="s">
        <v>432</v>
      </c>
      <c r="I8" s="51" t="s">
        <v>175</v>
      </c>
      <c r="J8" s="52" t="s">
        <v>175</v>
      </c>
    </row>
    <row r="9" spans="1:12" s="57" customFormat="1" ht="17.25" customHeight="1">
      <c r="A9" s="53" t="s">
        <v>6</v>
      </c>
      <c r="B9" s="53" t="s">
        <v>23</v>
      </c>
      <c r="C9" s="53">
        <v>1</v>
      </c>
      <c r="D9" s="53">
        <f>C9+1</f>
        <v>2</v>
      </c>
      <c r="E9" s="53">
        <f>D9+1</f>
        <v>3</v>
      </c>
      <c r="F9" s="53">
        <f>E9+1</f>
        <v>4</v>
      </c>
      <c r="G9" s="54" t="s">
        <v>176</v>
      </c>
      <c r="H9" s="54" t="s">
        <v>177</v>
      </c>
      <c r="I9" s="55"/>
      <c r="J9" s="56"/>
    </row>
    <row r="10" spans="1:12" s="45" customFormat="1" ht="24" customHeight="1">
      <c r="A10" s="13"/>
      <c r="B10" s="58" t="s">
        <v>178</v>
      </c>
      <c r="C10" s="231">
        <f>C11+C66+C67+C68</f>
        <v>40342</v>
      </c>
      <c r="D10" s="231">
        <f>D11+D66+D67+D68</f>
        <v>31700</v>
      </c>
      <c r="E10" s="231">
        <f>E11+E66+E67+E68</f>
        <v>128039.347318</v>
      </c>
      <c r="F10" s="231">
        <f>F11+F66+F67+F68</f>
        <v>120367.003205</v>
      </c>
      <c r="G10" s="251">
        <f t="shared" ref="G10:H14" si="0">E10/C10</f>
        <v>3.1738472886321949</v>
      </c>
      <c r="H10" s="251">
        <f t="shared" si="0"/>
        <v>3.7970663471608832</v>
      </c>
      <c r="I10" s="59" t="e">
        <f>SUM(I12,#REF!,#REF!,#REF!,#REF!,#REF!)</f>
        <v>#REF!</v>
      </c>
      <c r="J10" s="60" t="e">
        <f>SUM(J12,#REF!,#REF!,#REF!,#REF!,#REF!)</f>
        <v>#REF!</v>
      </c>
    </row>
    <row r="11" spans="1:12" s="45" customFormat="1" ht="18.75">
      <c r="A11" s="15" t="s">
        <v>6</v>
      </c>
      <c r="B11" s="16" t="s">
        <v>179</v>
      </c>
      <c r="C11" s="232">
        <f>C12+C57+C58+C65</f>
        <v>40342</v>
      </c>
      <c r="D11" s="232">
        <f>D12+D57+D58+D65</f>
        <v>31700</v>
      </c>
      <c r="E11" s="232">
        <f>E12+E57+E58+E65</f>
        <v>31646.084612000002</v>
      </c>
      <c r="F11" s="232">
        <f>F12+F57+F58+F65</f>
        <v>23973.740499000003</v>
      </c>
      <c r="G11" s="252">
        <f t="shared" si="0"/>
        <v>0.78444510961281055</v>
      </c>
      <c r="H11" s="252">
        <f t="shared" si="0"/>
        <v>0.75626941637223988</v>
      </c>
      <c r="I11" s="59" t="e">
        <f>SUM(I13,#REF!,#REF!,#REF!,#REF!,#REF!)</f>
        <v>#REF!</v>
      </c>
      <c r="J11" s="60" t="e">
        <f>SUM(J13,#REF!,#REF!,#REF!,#REF!,#REF!)</f>
        <v>#REF!</v>
      </c>
    </row>
    <row r="12" spans="1:12" s="45" customFormat="1" ht="18.75">
      <c r="A12" s="15" t="s">
        <v>8</v>
      </c>
      <c r="B12" s="16" t="s">
        <v>180</v>
      </c>
      <c r="C12" s="232">
        <f>C13+C16+C22+C25+C32+C33+C34+C39+C40+C41+C42+C44+C43+C47+C48</f>
        <v>40342</v>
      </c>
      <c r="D12" s="232">
        <f t="shared" ref="D12:F12" si="1">D13+D16+D22+D25+D32+D33+D34+D39+D40+D41+D42+D44+D43+D47+D48</f>
        <v>31700</v>
      </c>
      <c r="E12" s="232">
        <f t="shared" si="1"/>
        <v>31646.084612000002</v>
      </c>
      <c r="F12" s="232">
        <f t="shared" si="1"/>
        <v>23973.740499000003</v>
      </c>
      <c r="G12" s="252">
        <f t="shared" si="0"/>
        <v>0.78444510961281055</v>
      </c>
      <c r="H12" s="252">
        <f t="shared" si="0"/>
        <v>0.75626941637223988</v>
      </c>
      <c r="I12" s="61" t="e">
        <f>SUM(I13,#REF!,#REF!,#REF!,#REF!,#REF!,#REF!,#REF!,#REF!,#REF!,#REF!,#REF!,#REF!,#REF!,#REF!,#REF!)</f>
        <v>#REF!</v>
      </c>
      <c r="J12" s="62" t="e">
        <f>SUM(J13,#REF!,#REF!,#REF!,#REF!,#REF!,#REF!,#REF!,#REF!,#REF!,#REF!,#REF!,#REF!,#REF!,#REF!,#REF!)</f>
        <v>#REF!</v>
      </c>
    </row>
    <row r="13" spans="1:12" s="88" customFormat="1" ht="18.75">
      <c r="A13" s="15">
        <v>1</v>
      </c>
      <c r="B13" s="16" t="s">
        <v>181</v>
      </c>
      <c r="C13" s="232">
        <f>SUM(C14:C15)</f>
        <v>300</v>
      </c>
      <c r="D13" s="232">
        <f>SUM(D14:D15)</f>
        <v>45</v>
      </c>
      <c r="E13" s="232">
        <f>SUM(E14:E15)</f>
        <v>333.90602699999999</v>
      </c>
      <c r="F13" s="232">
        <f>SUM(F14:F15)</f>
        <v>50.085911000000003</v>
      </c>
      <c r="G13" s="252">
        <f t="shared" si="0"/>
        <v>1.11302009</v>
      </c>
      <c r="H13" s="252">
        <f t="shared" si="0"/>
        <v>1.1130202444444446</v>
      </c>
      <c r="I13" s="61" t="e">
        <f>SUM(I14,I22,I33,I34,I35,I36,I40,I41,#REF!)</f>
        <v>#REF!</v>
      </c>
      <c r="J13" s="62" t="e">
        <f>SUM(J14,J22,J33,J34,J35,J36,J40,J41,#REF!)</f>
        <v>#REF!</v>
      </c>
    </row>
    <row r="14" spans="1:12" s="45" customFormat="1" ht="18.75">
      <c r="A14" s="17" t="s">
        <v>12</v>
      </c>
      <c r="B14" s="108" t="s">
        <v>182</v>
      </c>
      <c r="C14" s="233">
        <v>300</v>
      </c>
      <c r="D14" s="233">
        <f>C14*15%</f>
        <v>45</v>
      </c>
      <c r="E14" s="233">
        <v>333.90602699999999</v>
      </c>
      <c r="F14" s="233">
        <v>50.085911000000003</v>
      </c>
      <c r="G14" s="253">
        <f t="shared" si="0"/>
        <v>1.11302009</v>
      </c>
      <c r="H14" s="253">
        <f t="shared" si="0"/>
        <v>1.1130202444444446</v>
      </c>
      <c r="I14" s="66" t="e">
        <f>#REF!-#REF!</f>
        <v>#REF!</v>
      </c>
      <c r="J14" s="67" t="e">
        <f>#REF!-#REF!</f>
        <v>#REF!</v>
      </c>
    </row>
    <row r="15" spans="1:12" s="45" customFormat="1" ht="18.75">
      <c r="A15" s="17" t="s">
        <v>12</v>
      </c>
      <c r="B15" s="108" t="s">
        <v>183</v>
      </c>
      <c r="C15" s="233"/>
      <c r="D15" s="233"/>
      <c r="E15" s="233"/>
      <c r="F15" s="233"/>
      <c r="G15" s="253"/>
      <c r="H15" s="253"/>
      <c r="I15" s="66"/>
      <c r="J15" s="67"/>
    </row>
    <row r="16" spans="1:12" s="88" customFormat="1" ht="18.75">
      <c r="A16" s="85" t="s">
        <v>18</v>
      </c>
      <c r="B16" s="16" t="s">
        <v>184</v>
      </c>
      <c r="C16" s="232">
        <f>SUM(C17:C19)</f>
        <v>1085</v>
      </c>
      <c r="D16" s="232">
        <f>SUM(D17:D19)</f>
        <v>163.24</v>
      </c>
      <c r="E16" s="232">
        <f>SUM(E17:E19)</f>
        <v>1654.344793</v>
      </c>
      <c r="F16" s="232">
        <f>SUM(F17:F19)</f>
        <v>249.99876399999999</v>
      </c>
      <c r="G16" s="252">
        <f t="shared" ref="G16:H19" si="2">E16/C16</f>
        <v>1.5247417447004608</v>
      </c>
      <c r="H16" s="252">
        <f t="shared" si="2"/>
        <v>1.5314798088703747</v>
      </c>
      <c r="I16" s="86" t="e">
        <f>#REF!-#REF!</f>
        <v>#REF!</v>
      </c>
      <c r="J16" s="87" t="e">
        <f>#REF!-#REF!</f>
        <v>#REF!</v>
      </c>
    </row>
    <row r="17" spans="1:12" s="45" customFormat="1" ht="18.75">
      <c r="A17" s="17" t="s">
        <v>12</v>
      </c>
      <c r="B17" s="108" t="s">
        <v>182</v>
      </c>
      <c r="C17" s="233">
        <v>50</v>
      </c>
      <c r="D17" s="233">
        <f>C17*15%</f>
        <v>7.5</v>
      </c>
      <c r="E17" s="233">
        <v>62.113912999999997</v>
      </c>
      <c r="F17" s="233">
        <v>33.504561000000002</v>
      </c>
      <c r="G17" s="253">
        <f t="shared" si="2"/>
        <v>1.24227826</v>
      </c>
      <c r="H17" s="253">
        <f t="shared" si="2"/>
        <v>4.4672748000000002</v>
      </c>
      <c r="I17" s="66" t="e">
        <f>#REF!-#REF!</f>
        <v>#REF!</v>
      </c>
      <c r="J17" s="67" t="e">
        <f>#REF!-#REF!</f>
        <v>#REF!</v>
      </c>
    </row>
    <row r="18" spans="1:12" s="45" customFormat="1" ht="18.75">
      <c r="A18" s="17" t="s">
        <v>12</v>
      </c>
      <c r="B18" s="108" t="s">
        <v>183</v>
      </c>
      <c r="C18" s="233">
        <v>905</v>
      </c>
      <c r="D18" s="233">
        <f>C18*15%-0.01</f>
        <v>135.74</v>
      </c>
      <c r="E18" s="233">
        <v>1442.3094180000001</v>
      </c>
      <c r="F18" s="233">
        <v>216.346418</v>
      </c>
      <c r="G18" s="253">
        <f t="shared" si="2"/>
        <v>1.5937120640883979</v>
      </c>
      <c r="H18" s="253">
        <f t="shared" si="2"/>
        <v>1.593829512302932</v>
      </c>
      <c r="I18" s="66"/>
      <c r="J18" s="67"/>
    </row>
    <row r="19" spans="1:12" s="45" customFormat="1" ht="18.75">
      <c r="A19" s="17" t="s">
        <v>12</v>
      </c>
      <c r="B19" s="108" t="s">
        <v>185</v>
      </c>
      <c r="C19" s="233">
        <f>SUM(C20:C21)</f>
        <v>130</v>
      </c>
      <c r="D19" s="233">
        <f t="shared" ref="D19:F19" si="3">SUM(D20:D21)</f>
        <v>20</v>
      </c>
      <c r="E19" s="233">
        <f t="shared" si="3"/>
        <v>149.92146199999999</v>
      </c>
      <c r="F19" s="233">
        <f t="shared" si="3"/>
        <v>0.147785</v>
      </c>
      <c r="G19" s="253">
        <f t="shared" si="2"/>
        <v>1.1532420153846152</v>
      </c>
      <c r="H19" s="253">
        <f t="shared" si="2"/>
        <v>7.38925E-3</v>
      </c>
      <c r="I19" s="66"/>
      <c r="J19" s="67"/>
      <c r="K19" s="45">
        <v>149.92146199999999</v>
      </c>
    </row>
    <row r="20" spans="1:12" s="46" customFormat="1" ht="18.75">
      <c r="A20" s="63"/>
      <c r="B20" s="109" t="s">
        <v>408</v>
      </c>
      <c r="C20" s="234">
        <v>110</v>
      </c>
      <c r="D20" s="234"/>
      <c r="E20" s="234">
        <v>140.934247</v>
      </c>
      <c r="F20" s="234"/>
      <c r="G20" s="254">
        <f t="shared" ref="G20" si="4">E20/C20</f>
        <v>1.2812204272727272</v>
      </c>
      <c r="H20" s="254"/>
      <c r="I20" s="64"/>
      <c r="J20" s="65"/>
      <c r="K20" s="173">
        <f>K19-E19</f>
        <v>0</v>
      </c>
    </row>
    <row r="21" spans="1:12" s="46" customFormat="1" ht="18.75">
      <c r="A21" s="63"/>
      <c r="B21" s="109" t="s">
        <v>407</v>
      </c>
      <c r="C21" s="234">
        <v>20</v>
      </c>
      <c r="D21" s="234">
        <f>C21</f>
        <v>20</v>
      </c>
      <c r="E21" s="234">
        <v>8.987214999999992</v>
      </c>
      <c r="F21" s="234">
        <v>0.147785</v>
      </c>
      <c r="G21" s="254">
        <f t="shared" ref="G21:G22" si="5">E21/C21</f>
        <v>0.44936074999999959</v>
      </c>
      <c r="H21" s="254">
        <f t="shared" ref="H21:H22" si="6">F21/D21</f>
        <v>7.38925E-3</v>
      </c>
      <c r="I21" s="64"/>
      <c r="J21" s="65"/>
      <c r="L21" s="173">
        <f>E19-E20</f>
        <v>8.987214999999992</v>
      </c>
    </row>
    <row r="22" spans="1:12" s="88" customFormat="1" ht="21.95" customHeight="1">
      <c r="A22" s="85" t="s">
        <v>27</v>
      </c>
      <c r="B22" s="16" t="s">
        <v>186</v>
      </c>
      <c r="C22" s="232">
        <f>SUM(C23:C24)</f>
        <v>2500</v>
      </c>
      <c r="D22" s="232">
        <f>SUM(D23:D24)</f>
        <v>375</v>
      </c>
      <c r="E22" s="232">
        <f>SUM(E23:E24)</f>
        <v>2732.2801180000001</v>
      </c>
      <c r="F22" s="232">
        <f>SUM(F23:F24)</f>
        <v>2322.4381039999998</v>
      </c>
      <c r="G22" s="252">
        <f t="shared" si="5"/>
        <v>1.0929120472</v>
      </c>
      <c r="H22" s="252">
        <f t="shared" si="6"/>
        <v>6.1931682773333332</v>
      </c>
      <c r="I22" s="86" t="e">
        <f>#REF!-#REF!</f>
        <v>#REF!</v>
      </c>
      <c r="J22" s="87" t="e">
        <f>#REF!-#REF!</f>
        <v>#REF!</v>
      </c>
    </row>
    <row r="23" spans="1:12" s="45" customFormat="1" ht="18.75">
      <c r="A23" s="17" t="s">
        <v>12</v>
      </c>
      <c r="B23" s="108" t="s">
        <v>182</v>
      </c>
      <c r="C23" s="233">
        <v>1000</v>
      </c>
      <c r="D23" s="233">
        <f>C23*15%</f>
        <v>150</v>
      </c>
      <c r="E23" s="233">
        <v>131.88567</v>
      </c>
      <c r="F23" s="233">
        <v>112.10282100000001</v>
      </c>
      <c r="G23" s="253">
        <f t="shared" ref="G23:G24" si="7">E23/C23</f>
        <v>0.13188567000000001</v>
      </c>
      <c r="H23" s="253">
        <f t="shared" ref="H23:H24" si="8">F23/D23</f>
        <v>0.74735214000000005</v>
      </c>
      <c r="I23" s="66"/>
      <c r="J23" s="67"/>
    </row>
    <row r="24" spans="1:12" s="45" customFormat="1" ht="18.75">
      <c r="A24" s="17" t="s">
        <v>12</v>
      </c>
      <c r="B24" s="108" t="s">
        <v>183</v>
      </c>
      <c r="C24" s="233">
        <v>1500</v>
      </c>
      <c r="D24" s="233">
        <f>C24*15%</f>
        <v>225</v>
      </c>
      <c r="E24" s="233">
        <v>2600.394448</v>
      </c>
      <c r="F24" s="233">
        <v>2210.3352829999999</v>
      </c>
      <c r="G24" s="253">
        <f t="shared" si="7"/>
        <v>1.7335962986666666</v>
      </c>
      <c r="H24" s="253">
        <f t="shared" si="8"/>
        <v>9.8237123688888879</v>
      </c>
      <c r="I24" s="66"/>
      <c r="J24" s="67"/>
    </row>
    <row r="25" spans="1:12" s="88" customFormat="1" ht="18.75">
      <c r="A25" s="85" t="s">
        <v>28</v>
      </c>
      <c r="B25" s="16" t="s">
        <v>187</v>
      </c>
      <c r="C25" s="232">
        <f>SUM(C26:C29)</f>
        <v>8140</v>
      </c>
      <c r="D25" s="232">
        <f>SUM(D26:D29)</f>
        <v>6856</v>
      </c>
      <c r="E25" s="232">
        <f>SUM(E26:E29)</f>
        <v>11332.776725</v>
      </c>
      <c r="F25" s="232">
        <f>SUM(F26:F29)</f>
        <v>9399.5925850000003</v>
      </c>
      <c r="G25" s="252">
        <f>E25/C25</f>
        <v>1.3922330128992628</v>
      </c>
      <c r="H25" s="252">
        <f>F25/D25</f>
        <v>1.3710024190490082</v>
      </c>
      <c r="I25" s="86" t="e">
        <f>#REF!-#REF!</f>
        <v>#REF!</v>
      </c>
      <c r="J25" s="87" t="e">
        <f>#REF!-#REF!</f>
        <v>#REF!</v>
      </c>
    </row>
    <row r="26" spans="1:12" s="45" customFormat="1" ht="18.75">
      <c r="A26" s="17" t="s">
        <v>12</v>
      </c>
      <c r="B26" s="108" t="s">
        <v>182</v>
      </c>
      <c r="C26" s="233">
        <v>5510</v>
      </c>
      <c r="D26" s="233">
        <f>C26*85%</f>
        <v>4683.5</v>
      </c>
      <c r="E26" s="233">
        <v>6981.0954039999997</v>
      </c>
      <c r="F26" s="233">
        <v>5933.9312550000004</v>
      </c>
      <c r="G26" s="253">
        <f>E26/C26</f>
        <v>1.2669864617059892</v>
      </c>
      <c r="H26" s="253">
        <f>F26/D26</f>
        <v>1.2669864962100994</v>
      </c>
      <c r="I26" s="66" t="e">
        <f>#REF!-#REF!</f>
        <v>#REF!</v>
      </c>
      <c r="J26" s="67" t="e">
        <f>#REF!-#REF!</f>
        <v>#REF!</v>
      </c>
    </row>
    <row r="27" spans="1:12" s="45" customFormat="1" ht="18.75">
      <c r="A27" s="17" t="s">
        <v>12</v>
      </c>
      <c r="B27" s="108" t="s">
        <v>183</v>
      </c>
      <c r="C27" s="233">
        <v>250</v>
      </c>
      <c r="D27" s="233">
        <f>C27*85%</f>
        <v>212.5</v>
      </c>
      <c r="E27" s="233">
        <v>457.36280399999998</v>
      </c>
      <c r="F27" s="233">
        <v>388.75841300000002</v>
      </c>
      <c r="G27" s="253">
        <f t="shared" ref="G27:G29" si="9">E27/C27</f>
        <v>1.8294512159999998</v>
      </c>
      <c r="H27" s="253">
        <f t="shared" ref="H27:H29" si="10">F27/D27</f>
        <v>1.8294513552941178</v>
      </c>
      <c r="I27" s="66"/>
      <c r="J27" s="67"/>
    </row>
    <row r="28" spans="1:12" s="45" customFormat="1" ht="18.75">
      <c r="A28" s="17" t="s">
        <v>12</v>
      </c>
      <c r="B28" s="108" t="s">
        <v>188</v>
      </c>
      <c r="C28" s="233">
        <v>50</v>
      </c>
      <c r="D28" s="233">
        <f>C28</f>
        <v>50</v>
      </c>
      <c r="E28" s="233">
        <v>68.547140999999996</v>
      </c>
      <c r="F28" s="233">
        <v>68.547140999999996</v>
      </c>
      <c r="G28" s="253">
        <f t="shared" si="9"/>
        <v>1.37094282</v>
      </c>
      <c r="H28" s="253">
        <f t="shared" si="10"/>
        <v>1.37094282</v>
      </c>
      <c r="I28" s="66"/>
      <c r="J28" s="67"/>
    </row>
    <row r="29" spans="1:12" s="45" customFormat="1" ht="18.75">
      <c r="A29" s="17" t="s">
        <v>12</v>
      </c>
      <c r="B29" s="108" t="s">
        <v>185</v>
      </c>
      <c r="C29" s="233">
        <f>SUM(C30:C31)</f>
        <v>2330</v>
      </c>
      <c r="D29" s="233">
        <f t="shared" ref="D29:F29" si="11">SUM(D30:D31)</f>
        <v>1910</v>
      </c>
      <c r="E29" s="233">
        <f t="shared" si="11"/>
        <v>3825.7713760000001</v>
      </c>
      <c r="F29" s="233">
        <f t="shared" si="11"/>
        <v>3008.3557759999999</v>
      </c>
      <c r="G29" s="253">
        <f t="shared" si="9"/>
        <v>1.6419619639484979</v>
      </c>
      <c r="H29" s="253">
        <f t="shared" si="10"/>
        <v>1.575055380104712</v>
      </c>
      <c r="I29" s="66"/>
      <c r="J29" s="67"/>
    </row>
    <row r="30" spans="1:12" s="46" customFormat="1" ht="18.75">
      <c r="A30" s="63"/>
      <c r="B30" s="109" t="s">
        <v>406</v>
      </c>
      <c r="C30" s="234">
        <v>1400</v>
      </c>
      <c r="D30" s="234">
        <f>C30*70%</f>
        <v>979.99999999999989</v>
      </c>
      <c r="E30" s="234">
        <v>2682.1689339999998</v>
      </c>
      <c r="F30" s="234">
        <v>1877.5182589999999</v>
      </c>
      <c r="G30" s="254">
        <f t="shared" ref="G30:G31" si="12">E30/C30</f>
        <v>1.9158349528571428</v>
      </c>
      <c r="H30" s="254">
        <f t="shared" ref="H30:H31" si="13">F30/D30</f>
        <v>1.9158349581632654</v>
      </c>
      <c r="I30" s="64"/>
      <c r="J30" s="65"/>
    </row>
    <row r="31" spans="1:12" s="46" customFormat="1" ht="18.75">
      <c r="A31" s="63"/>
      <c r="B31" s="109" t="s">
        <v>407</v>
      </c>
      <c r="C31" s="234">
        <v>930</v>
      </c>
      <c r="D31" s="234">
        <f>C31</f>
        <v>930</v>
      </c>
      <c r="E31" s="234">
        <f>3825.771376-E30</f>
        <v>1143.6024420000003</v>
      </c>
      <c r="F31" s="234">
        <f>3008.355776-F30</f>
        <v>1130.8375169999999</v>
      </c>
      <c r="G31" s="254">
        <f t="shared" si="12"/>
        <v>1.2296800451612906</v>
      </c>
      <c r="H31" s="254">
        <f t="shared" si="13"/>
        <v>1.2159543193548386</v>
      </c>
      <c r="I31" s="64"/>
      <c r="J31" s="65"/>
    </row>
    <row r="32" spans="1:12" s="88" customFormat="1" ht="18.75">
      <c r="A32" s="85" t="s">
        <v>29</v>
      </c>
      <c r="B32" s="16" t="s">
        <v>189</v>
      </c>
      <c r="C32" s="232">
        <v>1490</v>
      </c>
      <c r="D32" s="232">
        <f>C32*90%</f>
        <v>1341</v>
      </c>
      <c r="E32" s="232">
        <v>2533.9123800000002</v>
      </c>
      <c r="F32" s="232">
        <v>2393.4877160000001</v>
      </c>
      <c r="G32" s="252">
        <f t="shared" ref="G32:H34" si="14">E32/C32</f>
        <v>1.7006123355704699</v>
      </c>
      <c r="H32" s="252">
        <f t="shared" si="14"/>
        <v>1.7848528829231918</v>
      </c>
      <c r="I32" s="86" t="e">
        <f>#REF!-#REF!</f>
        <v>#REF!</v>
      </c>
      <c r="J32" s="87" t="e">
        <f>#REF!-#REF!</f>
        <v>#REF!</v>
      </c>
    </row>
    <row r="33" spans="1:10" s="88" customFormat="1" ht="18.75">
      <c r="A33" s="85" t="s">
        <v>30</v>
      </c>
      <c r="B33" s="16" t="s">
        <v>190</v>
      </c>
      <c r="C33" s="232">
        <v>3000</v>
      </c>
      <c r="D33" s="232">
        <f>C33</f>
        <v>3000</v>
      </c>
      <c r="E33" s="232">
        <v>3281.8060300000002</v>
      </c>
      <c r="F33" s="232">
        <f>E33</f>
        <v>3281.8060300000002</v>
      </c>
      <c r="G33" s="252">
        <f t="shared" si="14"/>
        <v>1.0939353433333334</v>
      </c>
      <c r="H33" s="252">
        <f t="shared" si="14"/>
        <v>1.0939353433333334</v>
      </c>
      <c r="I33" s="86" t="e">
        <f>#REF!-#REF!</f>
        <v>#REF!</v>
      </c>
      <c r="J33" s="87" t="e">
        <f>#REF!-#REF!</f>
        <v>#REF!</v>
      </c>
    </row>
    <row r="34" spans="1:10" s="88" customFormat="1" ht="18.75">
      <c r="A34" s="85" t="s">
        <v>31</v>
      </c>
      <c r="B34" s="16" t="s">
        <v>191</v>
      </c>
      <c r="C34" s="232">
        <f>SUM(C35:C38)</f>
        <v>1240</v>
      </c>
      <c r="D34" s="232">
        <f>SUM(D35:D38)</f>
        <v>1240</v>
      </c>
      <c r="E34" s="232">
        <f>SUM(E35:E38)</f>
        <v>1288.333404</v>
      </c>
      <c r="F34" s="232">
        <f>SUM(F35:F38)</f>
        <v>1237.6655109999999</v>
      </c>
      <c r="G34" s="252">
        <f t="shared" si="14"/>
        <v>1.0389785516129033</v>
      </c>
      <c r="H34" s="252">
        <f t="shared" si="14"/>
        <v>0.99811734758064508</v>
      </c>
      <c r="I34" s="86" t="e">
        <f>#REF!-#REF!</f>
        <v>#REF!</v>
      </c>
      <c r="J34" s="87" t="e">
        <f>#REF!-#REF!</f>
        <v>#REF!</v>
      </c>
    </row>
    <row r="35" spans="1:10" s="45" customFormat="1" ht="18.75">
      <c r="A35" s="17" t="s">
        <v>12</v>
      </c>
      <c r="B35" s="18" t="s">
        <v>192</v>
      </c>
      <c r="C35" s="233"/>
      <c r="D35" s="233"/>
      <c r="E35" s="233">
        <v>52.667892999999999</v>
      </c>
      <c r="F35" s="233">
        <v>2</v>
      </c>
      <c r="G35" s="253"/>
      <c r="H35" s="253"/>
      <c r="I35" s="66" t="e">
        <f>#REF!-#REF!</f>
        <v>#REF!</v>
      </c>
      <c r="J35" s="67" t="e">
        <f>#REF!-#REF!</f>
        <v>#REF!</v>
      </c>
    </row>
    <row r="36" spans="1:10" s="45" customFormat="1" ht="18.75">
      <c r="A36" s="17" t="s">
        <v>12</v>
      </c>
      <c r="B36" s="18" t="s">
        <v>193</v>
      </c>
      <c r="C36" s="235">
        <v>600</v>
      </c>
      <c r="D36" s="233">
        <f>C36</f>
        <v>600</v>
      </c>
      <c r="E36" s="236">
        <v>88.773600000000002</v>
      </c>
      <c r="F36" s="233">
        <f>E36</f>
        <v>88.773600000000002</v>
      </c>
      <c r="G36" s="253">
        <f>E36/C36</f>
        <v>0.147956</v>
      </c>
      <c r="H36" s="253">
        <f>F36/D36</f>
        <v>0.147956</v>
      </c>
      <c r="I36" s="66" t="e">
        <f>#REF!-#REF!</f>
        <v>#REF!</v>
      </c>
      <c r="J36" s="67" t="e">
        <f>#REF!-#REF!</f>
        <v>#REF!</v>
      </c>
    </row>
    <row r="37" spans="1:10" s="45" customFormat="1" ht="18.75">
      <c r="A37" s="17" t="s">
        <v>12</v>
      </c>
      <c r="B37" s="18" t="s">
        <v>194</v>
      </c>
      <c r="C37" s="233">
        <v>530</v>
      </c>
      <c r="D37" s="233">
        <f>C37</f>
        <v>530</v>
      </c>
      <c r="E37" s="236">
        <v>908.87312299999996</v>
      </c>
      <c r="F37" s="233">
        <f t="shared" ref="F37:F38" si="15">E37</f>
        <v>908.87312299999996</v>
      </c>
      <c r="G37" s="253">
        <f t="shared" ref="G37:G38" si="16">E37/C37</f>
        <v>1.7148549490566036</v>
      </c>
      <c r="H37" s="253">
        <f t="shared" ref="H37:H38" si="17">F37/D37</f>
        <v>1.7148549490566036</v>
      </c>
      <c r="I37" s="66" t="e">
        <f>#REF!-#REF!</f>
        <v>#REF!</v>
      </c>
      <c r="J37" s="67" t="e">
        <f>#REF!-#REF!</f>
        <v>#REF!</v>
      </c>
    </row>
    <row r="38" spans="1:10" s="45" customFormat="1" ht="18.75">
      <c r="A38" s="17" t="s">
        <v>12</v>
      </c>
      <c r="B38" s="18" t="s">
        <v>195</v>
      </c>
      <c r="C38" s="233">
        <v>110</v>
      </c>
      <c r="D38" s="233">
        <f>C38</f>
        <v>110</v>
      </c>
      <c r="E38" s="237">
        <v>238.018788</v>
      </c>
      <c r="F38" s="233">
        <f t="shared" si="15"/>
        <v>238.018788</v>
      </c>
      <c r="G38" s="253">
        <f t="shared" si="16"/>
        <v>2.1638071636363638</v>
      </c>
      <c r="H38" s="253">
        <f t="shared" si="17"/>
        <v>2.1638071636363638</v>
      </c>
      <c r="I38" s="66" t="e">
        <f>#REF!-#REF!</f>
        <v>#REF!</v>
      </c>
      <c r="J38" s="67" t="e">
        <f>#REF!-#REF!</f>
        <v>#REF!</v>
      </c>
    </row>
    <row r="39" spans="1:10" s="88" customFormat="1" ht="18.75">
      <c r="A39" s="85" t="s">
        <v>32</v>
      </c>
      <c r="B39" s="16" t="s">
        <v>242</v>
      </c>
      <c r="C39" s="232"/>
      <c r="D39" s="232"/>
      <c r="E39" s="232">
        <v>116.21962499999999</v>
      </c>
      <c r="F39" s="232">
        <f>E39</f>
        <v>116.21962499999999</v>
      </c>
      <c r="G39" s="252"/>
      <c r="H39" s="252"/>
      <c r="I39" s="86" t="e">
        <f>#REF!-#REF!</f>
        <v>#REF!</v>
      </c>
      <c r="J39" s="87" t="e">
        <f>#REF!-#REF!</f>
        <v>#REF!</v>
      </c>
    </row>
    <row r="40" spans="1:10" s="88" customFormat="1" ht="18.75">
      <c r="A40" s="85" t="s">
        <v>33</v>
      </c>
      <c r="B40" s="16" t="s">
        <v>196</v>
      </c>
      <c r="C40" s="232">
        <v>30</v>
      </c>
      <c r="D40" s="232">
        <f>C40</f>
        <v>30</v>
      </c>
      <c r="E40" s="232">
        <v>38.444257999999998</v>
      </c>
      <c r="F40" s="232">
        <f>E40</f>
        <v>38.444257999999998</v>
      </c>
      <c r="G40" s="252">
        <f>E40/C40</f>
        <v>1.2814752666666667</v>
      </c>
      <c r="H40" s="252">
        <f>F40/D40</f>
        <v>1.2814752666666667</v>
      </c>
      <c r="I40" s="86" t="e">
        <f>#REF!-#REF!</f>
        <v>#REF!</v>
      </c>
      <c r="J40" s="87" t="e">
        <f>#REF!-#REF!</f>
        <v>#REF!</v>
      </c>
    </row>
    <row r="41" spans="1:10" s="88" customFormat="1" ht="18.75">
      <c r="A41" s="85" t="s">
        <v>34</v>
      </c>
      <c r="B41" s="16" t="s">
        <v>197</v>
      </c>
      <c r="C41" s="232">
        <v>170</v>
      </c>
      <c r="D41" s="232">
        <f>C41*80%</f>
        <v>136</v>
      </c>
      <c r="E41" s="232">
        <v>105.80600699999999</v>
      </c>
      <c r="F41" s="232">
        <v>84.644810000000007</v>
      </c>
      <c r="G41" s="252">
        <f>E41/C41</f>
        <v>0.62238827647058825</v>
      </c>
      <c r="H41" s="252">
        <f>F41/D41</f>
        <v>0.62238830882352947</v>
      </c>
      <c r="I41" s="86" t="e">
        <f>#REF!-#REF!</f>
        <v>#REF!</v>
      </c>
      <c r="J41" s="87" t="e">
        <f>#REF!-#REF!</f>
        <v>#REF!</v>
      </c>
    </row>
    <row r="42" spans="1:10" s="88" customFormat="1" ht="18.75">
      <c r="A42" s="85" t="s">
        <v>35</v>
      </c>
      <c r="B42" s="16" t="s">
        <v>198</v>
      </c>
      <c r="C42" s="232">
        <v>19027</v>
      </c>
      <c r="D42" s="232">
        <f>C42*88%</f>
        <v>16743.759999999998</v>
      </c>
      <c r="E42" s="232">
        <v>3968.4845540000001</v>
      </c>
      <c r="F42" s="232">
        <v>3492.266408</v>
      </c>
      <c r="G42" s="252">
        <f t="shared" ref="G42:G44" si="18">E42/C42</f>
        <v>0.20857121742786566</v>
      </c>
      <c r="H42" s="252">
        <f t="shared" ref="H42:H44" si="19">F42/D42</f>
        <v>0.20857121745653306</v>
      </c>
      <c r="I42" s="86" t="e">
        <f>#REF!-#REF!</f>
        <v>#REF!</v>
      </c>
      <c r="J42" s="87" t="e">
        <f>#REF!-#REF!</f>
        <v>#REF!</v>
      </c>
    </row>
    <row r="43" spans="1:10" s="88" customFormat="1" ht="18.75" customHeight="1">
      <c r="A43" s="85" t="s">
        <v>36</v>
      </c>
      <c r="B43" s="16" t="s">
        <v>393</v>
      </c>
      <c r="C43" s="232"/>
      <c r="D43" s="232"/>
      <c r="E43" s="232"/>
      <c r="F43" s="232"/>
      <c r="G43" s="252"/>
      <c r="H43" s="252"/>
      <c r="I43" s="86"/>
      <c r="J43" s="89"/>
    </row>
    <row r="44" spans="1:10" s="88" customFormat="1" ht="18.75">
      <c r="A44" s="85" t="s">
        <v>37</v>
      </c>
      <c r="B44" s="16" t="s">
        <v>199</v>
      </c>
      <c r="C44" s="232">
        <f>SUM(C45:C46)</f>
        <v>1110</v>
      </c>
      <c r="D44" s="232">
        <f>SUM(D45:D46)</f>
        <v>350</v>
      </c>
      <c r="E44" s="232">
        <f t="shared" ref="E44:F44" si="20">SUM(E45:E46)</f>
        <v>2283.2756479999998</v>
      </c>
      <c r="F44" s="232">
        <f t="shared" si="20"/>
        <v>837.59050500000001</v>
      </c>
      <c r="G44" s="252">
        <f t="shared" si="18"/>
        <v>2.057005088288288</v>
      </c>
      <c r="H44" s="252">
        <f t="shared" si="19"/>
        <v>2.3931157285714284</v>
      </c>
      <c r="I44" s="86"/>
      <c r="J44" s="89"/>
    </row>
    <row r="45" spans="1:10" s="45" customFormat="1" ht="18.75">
      <c r="A45" s="17" t="s">
        <v>12</v>
      </c>
      <c r="B45" s="18" t="s">
        <v>438</v>
      </c>
      <c r="C45" s="233">
        <v>760</v>
      </c>
      <c r="D45" s="233"/>
      <c r="E45" s="233">
        <v>1445.6851429999999</v>
      </c>
      <c r="F45" s="233"/>
      <c r="G45" s="253"/>
      <c r="H45" s="253"/>
      <c r="I45" s="66"/>
      <c r="J45" s="172"/>
    </row>
    <row r="46" spans="1:10" s="45" customFormat="1" ht="18.75">
      <c r="A46" s="17" t="s">
        <v>12</v>
      </c>
      <c r="B46" s="18" t="s">
        <v>439</v>
      </c>
      <c r="C46" s="233">
        <v>350</v>
      </c>
      <c r="D46" s="233">
        <f>C46</f>
        <v>350</v>
      </c>
      <c r="E46" s="233">
        <v>837.59050500000001</v>
      </c>
      <c r="F46" s="233">
        <f>E46</f>
        <v>837.59050500000001</v>
      </c>
      <c r="G46" s="253"/>
      <c r="H46" s="253"/>
      <c r="I46" s="66"/>
      <c r="J46" s="172"/>
    </row>
    <row r="47" spans="1:10" s="88" customFormat="1" ht="18.75" customHeight="1">
      <c r="A47" s="85" t="s">
        <v>38</v>
      </c>
      <c r="B47" s="16" t="s">
        <v>441</v>
      </c>
      <c r="C47" s="232"/>
      <c r="D47" s="232"/>
      <c r="E47" s="232">
        <v>1.2749999999999999</v>
      </c>
      <c r="F47" s="232"/>
      <c r="G47" s="252"/>
      <c r="H47" s="252"/>
      <c r="I47" s="86"/>
      <c r="J47" s="89"/>
    </row>
    <row r="48" spans="1:10" s="88" customFormat="1" ht="18.75">
      <c r="A48" s="85" t="s">
        <v>39</v>
      </c>
      <c r="B48" s="16" t="s">
        <v>200</v>
      </c>
      <c r="C48" s="232">
        <f>C49+C56</f>
        <v>2250</v>
      </c>
      <c r="D48" s="232">
        <f>D49+D56</f>
        <v>1420</v>
      </c>
      <c r="E48" s="232">
        <f>E49+E56+E53+E54+E55</f>
        <v>1975.2200429999998</v>
      </c>
      <c r="F48" s="232">
        <f>F49+F56+F53+F54+F55</f>
        <v>469.500272</v>
      </c>
      <c r="G48" s="252">
        <f>E48/C48</f>
        <v>0.87787557466666655</v>
      </c>
      <c r="H48" s="252">
        <f>F48/D48</f>
        <v>0.33063399436619717</v>
      </c>
      <c r="I48" s="86" t="e">
        <f>#REF!-#REF!</f>
        <v>#REF!</v>
      </c>
      <c r="J48" s="87" t="e">
        <f>#REF!-#REF!</f>
        <v>#REF!</v>
      </c>
    </row>
    <row r="49" spans="1:10" s="45" customFormat="1" ht="18.75">
      <c r="A49" s="17" t="s">
        <v>12</v>
      </c>
      <c r="B49" s="18" t="s">
        <v>201</v>
      </c>
      <c r="C49" s="233">
        <f>SUM(C51:C52)</f>
        <v>1460</v>
      </c>
      <c r="D49" s="233">
        <f>SUM(D51:D52)</f>
        <v>700</v>
      </c>
      <c r="E49" s="233">
        <v>1539.3925999999999</v>
      </c>
      <c r="F49" s="233">
        <v>115.05</v>
      </c>
      <c r="G49" s="253">
        <f>E49/C49</f>
        <v>1.0543784931506848</v>
      </c>
      <c r="H49" s="253">
        <f>F49/D49</f>
        <v>0.16435714285714284</v>
      </c>
      <c r="I49" s="66"/>
      <c r="J49" s="67"/>
    </row>
    <row r="50" spans="1:10" s="46" customFormat="1" ht="18.75">
      <c r="A50" s="63"/>
      <c r="B50" s="18" t="s">
        <v>202</v>
      </c>
      <c r="C50" s="234"/>
      <c r="D50" s="234"/>
      <c r="E50" s="234"/>
      <c r="F50" s="234"/>
      <c r="G50" s="254"/>
      <c r="H50" s="254"/>
      <c r="I50" s="64"/>
      <c r="J50" s="65"/>
    </row>
    <row r="51" spans="1:10" s="46" customFormat="1" ht="18.75">
      <c r="A51" s="63"/>
      <c r="B51" s="68" t="s">
        <v>203</v>
      </c>
      <c r="C51" s="234">
        <v>600</v>
      </c>
      <c r="D51" s="234"/>
      <c r="E51" s="234">
        <v>827.17499999999995</v>
      </c>
      <c r="F51" s="234"/>
      <c r="G51" s="254">
        <f>E51/C51</f>
        <v>1.378625</v>
      </c>
      <c r="H51" s="254"/>
      <c r="I51" s="64"/>
      <c r="J51" s="65"/>
    </row>
    <row r="52" spans="1:10" s="46" customFormat="1" ht="18.75">
      <c r="A52" s="63"/>
      <c r="B52" s="68" t="s">
        <v>204</v>
      </c>
      <c r="C52" s="234">
        <v>860</v>
      </c>
      <c r="D52" s="234">
        <v>700</v>
      </c>
      <c r="E52" s="234">
        <v>210.21459999999999</v>
      </c>
      <c r="F52" s="234"/>
      <c r="G52" s="254">
        <f>E52/C52</f>
        <v>0.24443558139534882</v>
      </c>
      <c r="H52" s="254"/>
      <c r="I52" s="64"/>
      <c r="J52" s="65"/>
    </row>
    <row r="53" spans="1:10" s="45" customFormat="1" ht="18.75">
      <c r="A53" s="17" t="s">
        <v>12</v>
      </c>
      <c r="B53" s="84" t="s">
        <v>205</v>
      </c>
      <c r="C53" s="233"/>
      <c r="D53" s="233"/>
      <c r="E53" s="233">
        <v>80.372</v>
      </c>
      <c r="F53" s="233"/>
      <c r="G53" s="253"/>
      <c r="H53" s="253"/>
      <c r="I53" s="66"/>
      <c r="J53" s="67"/>
    </row>
    <row r="54" spans="1:10" s="45" customFormat="1" ht="18.75">
      <c r="A54" s="17" t="s">
        <v>12</v>
      </c>
      <c r="B54" s="84" t="s">
        <v>206</v>
      </c>
      <c r="C54" s="233"/>
      <c r="D54" s="233"/>
      <c r="E54" s="233">
        <v>271.61184100000003</v>
      </c>
      <c r="F54" s="233">
        <v>270.65684099999999</v>
      </c>
      <c r="G54" s="253"/>
      <c r="H54" s="253"/>
      <c r="I54" s="66"/>
      <c r="J54" s="67"/>
    </row>
    <row r="55" spans="1:10" s="45" customFormat="1" ht="18.75">
      <c r="A55" s="17" t="s">
        <v>12</v>
      </c>
      <c r="B55" s="84" t="s">
        <v>207</v>
      </c>
      <c r="C55" s="233"/>
      <c r="D55" s="233"/>
      <c r="E55" s="233"/>
      <c r="F55" s="233"/>
      <c r="G55" s="253"/>
      <c r="H55" s="253"/>
      <c r="I55" s="66"/>
      <c r="J55" s="67"/>
    </row>
    <row r="56" spans="1:10" s="45" customFormat="1" ht="18.75">
      <c r="A56" s="17" t="s">
        <v>12</v>
      </c>
      <c r="B56" s="18" t="s">
        <v>208</v>
      </c>
      <c r="C56" s="233">
        <v>790</v>
      </c>
      <c r="D56" s="233">
        <v>720</v>
      </c>
      <c r="E56" s="233">
        <v>83.843602000000004</v>
      </c>
      <c r="F56" s="233">
        <v>83.793430999999998</v>
      </c>
      <c r="G56" s="253">
        <f>E56/C56</f>
        <v>0.10613114177215191</v>
      </c>
      <c r="H56" s="253">
        <f>F56/D56</f>
        <v>0.11637976527777777</v>
      </c>
      <c r="I56" s="66"/>
      <c r="J56" s="67"/>
    </row>
    <row r="57" spans="1:10" s="45" customFormat="1" ht="18.75">
      <c r="A57" s="15" t="s">
        <v>16</v>
      </c>
      <c r="B57" s="16" t="s">
        <v>209</v>
      </c>
      <c r="C57" s="233"/>
      <c r="D57" s="233"/>
      <c r="E57" s="233"/>
      <c r="F57" s="233"/>
      <c r="G57" s="253"/>
      <c r="H57" s="253"/>
      <c r="I57" s="66" t="e">
        <f>#REF!-#REF!</f>
        <v>#REF!</v>
      </c>
      <c r="J57" s="67" t="e">
        <f>#REF!-#REF!</f>
        <v>#REF!</v>
      </c>
    </row>
    <row r="58" spans="1:10" s="45" customFormat="1" ht="18.75">
      <c r="A58" s="15" t="s">
        <v>50</v>
      </c>
      <c r="B58" s="16" t="s">
        <v>210</v>
      </c>
      <c r="C58" s="233"/>
      <c r="D58" s="233"/>
      <c r="E58" s="233"/>
      <c r="F58" s="233"/>
      <c r="G58" s="253"/>
      <c r="H58" s="253"/>
      <c r="I58" s="66" t="e">
        <f>#REF!-#REF!</f>
        <v>#REF!</v>
      </c>
      <c r="J58" s="67" t="e">
        <f>#REF!-#REF!</f>
        <v>#REF!</v>
      </c>
    </row>
    <row r="59" spans="1:10" s="45" customFormat="1" ht="18.75">
      <c r="A59" s="20">
        <v>1</v>
      </c>
      <c r="B59" s="18" t="s">
        <v>211</v>
      </c>
      <c r="C59" s="233"/>
      <c r="D59" s="233"/>
      <c r="E59" s="233"/>
      <c r="F59" s="233"/>
      <c r="G59" s="253"/>
      <c r="H59" s="253"/>
      <c r="I59" s="66"/>
      <c r="J59" s="67"/>
    </row>
    <row r="60" spans="1:10" s="45" customFormat="1" ht="18.75">
      <c r="A60" s="20">
        <f>A59+1</f>
        <v>2</v>
      </c>
      <c r="B60" s="18" t="s">
        <v>212</v>
      </c>
      <c r="C60" s="233"/>
      <c r="D60" s="233"/>
      <c r="E60" s="233"/>
      <c r="F60" s="233"/>
      <c r="G60" s="253"/>
      <c r="H60" s="253"/>
      <c r="I60" s="66"/>
      <c r="J60" s="67"/>
    </row>
    <row r="61" spans="1:10" s="45" customFormat="1" ht="18.75">
      <c r="A61" s="20">
        <f>A60+1</f>
        <v>3</v>
      </c>
      <c r="B61" s="18" t="s">
        <v>213</v>
      </c>
      <c r="C61" s="233"/>
      <c r="D61" s="233"/>
      <c r="E61" s="233"/>
      <c r="F61" s="233"/>
      <c r="G61" s="253"/>
      <c r="H61" s="253"/>
      <c r="I61" s="66"/>
      <c r="J61" s="67"/>
    </row>
    <row r="62" spans="1:10" s="45" customFormat="1" ht="18.75">
      <c r="A62" s="20">
        <f>A61+1</f>
        <v>4</v>
      </c>
      <c r="B62" s="18" t="s">
        <v>214</v>
      </c>
      <c r="C62" s="233"/>
      <c r="D62" s="233"/>
      <c r="E62" s="233"/>
      <c r="F62" s="233"/>
      <c r="G62" s="253"/>
      <c r="H62" s="253"/>
      <c r="I62" s="66"/>
      <c r="J62" s="67"/>
    </row>
    <row r="63" spans="1:10" s="45" customFormat="1" ht="18.75">
      <c r="A63" s="20">
        <f>A62+1</f>
        <v>5</v>
      </c>
      <c r="B63" s="18" t="s">
        <v>215</v>
      </c>
      <c r="C63" s="233"/>
      <c r="D63" s="233"/>
      <c r="E63" s="233"/>
      <c r="F63" s="233"/>
      <c r="G63" s="253"/>
      <c r="H63" s="253"/>
      <c r="I63" s="66"/>
      <c r="J63" s="67"/>
    </row>
    <row r="64" spans="1:10" s="45" customFormat="1" ht="18.75">
      <c r="A64" s="20">
        <f>A63+1</f>
        <v>6</v>
      </c>
      <c r="B64" s="18" t="s">
        <v>216</v>
      </c>
      <c r="C64" s="233"/>
      <c r="D64" s="233"/>
      <c r="E64" s="233"/>
      <c r="F64" s="233"/>
      <c r="G64" s="253"/>
      <c r="H64" s="253"/>
      <c r="I64" s="66"/>
      <c r="J64" s="67"/>
    </row>
    <row r="65" spans="1:10" s="45" customFormat="1" ht="18.75">
      <c r="A65" s="15" t="s">
        <v>51</v>
      </c>
      <c r="B65" s="16" t="s">
        <v>172</v>
      </c>
      <c r="C65" s="233"/>
      <c r="D65" s="233"/>
      <c r="E65" s="233"/>
      <c r="F65" s="233"/>
      <c r="G65" s="253"/>
      <c r="H65" s="253"/>
      <c r="I65" s="66" t="e">
        <f>#REF!-#REF!</f>
        <v>#REF!</v>
      </c>
      <c r="J65" s="67" t="e">
        <f>#REF!-#REF!</f>
        <v>#REF!</v>
      </c>
    </row>
    <row r="66" spans="1:10" s="45" customFormat="1" ht="18.75">
      <c r="A66" s="110" t="s">
        <v>23</v>
      </c>
      <c r="B66" s="111" t="s">
        <v>217</v>
      </c>
      <c r="C66" s="233"/>
      <c r="D66" s="233"/>
      <c r="E66" s="233"/>
      <c r="F66" s="233"/>
      <c r="G66" s="253"/>
      <c r="H66" s="253"/>
      <c r="I66" s="112"/>
      <c r="J66" s="113"/>
    </row>
    <row r="67" spans="1:10" s="45" customFormat="1" ht="18.75">
      <c r="A67" s="110" t="s">
        <v>41</v>
      </c>
      <c r="B67" s="111" t="s">
        <v>218</v>
      </c>
      <c r="C67" s="233"/>
      <c r="D67" s="233"/>
      <c r="E67" s="232">
        <f>F67</f>
        <v>6568.5045499999997</v>
      </c>
      <c r="F67" s="232">
        <v>6568.5045499999997</v>
      </c>
      <c r="G67" s="253"/>
      <c r="H67" s="253"/>
      <c r="I67" s="112"/>
      <c r="J67" s="113"/>
    </row>
    <row r="68" spans="1:10" s="45" customFormat="1" ht="37.5">
      <c r="A68" s="114" t="s">
        <v>158</v>
      </c>
      <c r="B68" s="115" t="s">
        <v>219</v>
      </c>
      <c r="C68" s="238"/>
      <c r="D68" s="238"/>
      <c r="E68" s="239">
        <f>F68</f>
        <v>89824.758155999996</v>
      </c>
      <c r="F68" s="239">
        <v>89824.758155999996</v>
      </c>
      <c r="G68" s="255"/>
      <c r="H68" s="255"/>
      <c r="I68" s="112"/>
      <c r="J68" s="113"/>
    </row>
    <row r="69" spans="1:10" s="121" customFormat="1" ht="21" customHeight="1">
      <c r="A69" s="116" t="s">
        <v>409</v>
      </c>
      <c r="B69" s="117"/>
      <c r="C69" s="118"/>
      <c r="D69" s="118"/>
      <c r="E69" s="118"/>
      <c r="F69" s="118"/>
      <c r="G69" s="119"/>
      <c r="H69" s="119"/>
      <c r="I69" s="120"/>
      <c r="J69" s="120"/>
    </row>
    <row r="70" spans="1:10" ht="25.5" customHeight="1">
      <c r="A70" s="343" t="s">
        <v>220</v>
      </c>
      <c r="B70" s="343"/>
      <c r="C70" s="343"/>
      <c r="D70" s="343"/>
      <c r="E70" s="343"/>
      <c r="F70" s="343"/>
      <c r="G70" s="343"/>
      <c r="H70" s="343"/>
      <c r="I70" s="343"/>
      <c r="J70" s="343"/>
    </row>
    <row r="71" spans="1:10" ht="19.5" customHeight="1">
      <c r="A71" s="35"/>
      <c r="B71" s="69" t="s">
        <v>221</v>
      </c>
      <c r="C71" s="35"/>
      <c r="D71" s="35"/>
      <c r="E71" s="35"/>
      <c r="F71" s="35"/>
      <c r="G71" s="35"/>
      <c r="H71" s="35"/>
      <c r="I71" s="35"/>
      <c r="J71" s="35"/>
    </row>
    <row r="72" spans="1:10" ht="18.75">
      <c r="A72" s="35"/>
      <c r="B72" s="69" t="s">
        <v>222</v>
      </c>
      <c r="C72" s="35"/>
      <c r="D72" s="35"/>
      <c r="E72" s="35"/>
      <c r="F72" s="35"/>
      <c r="G72" s="35"/>
      <c r="H72" s="35"/>
      <c r="I72" s="35"/>
      <c r="J72" s="35"/>
    </row>
    <row r="73" spans="1:10" ht="18.75">
      <c r="A73" s="35"/>
      <c r="B73" s="69" t="s">
        <v>223</v>
      </c>
      <c r="C73" s="35"/>
      <c r="D73" s="35"/>
      <c r="E73" s="35"/>
      <c r="F73" s="35"/>
      <c r="G73" s="35"/>
      <c r="H73" s="35"/>
      <c r="I73" s="35"/>
      <c r="J73" s="35"/>
    </row>
    <row r="74" spans="1:10" ht="18.75">
      <c r="A74" s="35"/>
      <c r="B74" s="70" t="s">
        <v>224</v>
      </c>
      <c r="C74" s="35"/>
      <c r="D74" s="35"/>
      <c r="E74" s="35"/>
      <c r="F74" s="35"/>
      <c r="G74" s="35"/>
      <c r="H74" s="35"/>
      <c r="I74" s="35"/>
      <c r="J74" s="35"/>
    </row>
    <row r="75" spans="1:10" ht="18.75">
      <c r="A75" s="35"/>
      <c r="B75" s="71" t="s">
        <v>225</v>
      </c>
      <c r="C75" s="35"/>
      <c r="D75" s="35"/>
      <c r="E75" s="35"/>
      <c r="F75" s="35"/>
      <c r="G75" s="35"/>
      <c r="H75" s="35"/>
      <c r="I75" s="35"/>
      <c r="J75" s="35"/>
    </row>
    <row r="76" spans="1:10" ht="18.75">
      <c r="A76" s="35"/>
      <c r="B76" s="70" t="s">
        <v>226</v>
      </c>
      <c r="C76" s="35"/>
      <c r="D76" s="35"/>
      <c r="E76" s="35"/>
      <c r="F76" s="35"/>
      <c r="G76" s="35"/>
      <c r="H76" s="35"/>
      <c r="I76" s="35"/>
      <c r="J76" s="35"/>
    </row>
    <row r="77" spans="1:10" ht="18.75">
      <c r="A77" s="35"/>
      <c r="B77" s="71" t="s">
        <v>227</v>
      </c>
      <c r="C77" s="35"/>
      <c r="D77" s="35"/>
      <c r="E77" s="35"/>
      <c r="F77" s="35"/>
      <c r="G77" s="35"/>
      <c r="H77" s="35"/>
      <c r="I77" s="35"/>
      <c r="J77" s="35"/>
    </row>
    <row r="78" spans="1:10" ht="18.75">
      <c r="A78" s="36"/>
      <c r="B78" s="69" t="s">
        <v>228</v>
      </c>
      <c r="C78" s="35"/>
      <c r="D78" s="35"/>
      <c r="E78" s="35"/>
      <c r="F78" s="35"/>
      <c r="G78" s="35"/>
      <c r="H78" s="35"/>
      <c r="I78" s="35"/>
      <c r="J78" s="35"/>
    </row>
    <row r="79" spans="1:10" ht="18.75">
      <c r="A79" s="45"/>
      <c r="B79" s="69" t="s">
        <v>229</v>
      </c>
      <c r="C79" s="35"/>
      <c r="D79" s="35"/>
      <c r="E79" s="35"/>
      <c r="F79" s="35"/>
      <c r="G79" s="35"/>
      <c r="H79" s="35"/>
      <c r="I79" s="35"/>
      <c r="J79" s="35"/>
    </row>
    <row r="80" spans="1:10" ht="18.75">
      <c r="A80" s="45"/>
      <c r="B80" s="69" t="s">
        <v>230</v>
      </c>
      <c r="C80" s="35"/>
      <c r="D80" s="35"/>
      <c r="E80" s="35"/>
      <c r="F80" s="35"/>
      <c r="G80" s="35"/>
      <c r="H80" s="35"/>
      <c r="I80" s="35"/>
      <c r="J80" s="35"/>
    </row>
    <row r="81" spans="1:8" ht="18.75">
      <c r="A81" s="45"/>
      <c r="B81" s="45"/>
      <c r="C81" s="45"/>
      <c r="D81" s="45"/>
      <c r="E81" s="45"/>
      <c r="F81" s="45"/>
      <c r="G81" s="45"/>
      <c r="H81" s="45"/>
    </row>
    <row r="82" spans="1:8" ht="18.75">
      <c r="A82" s="45"/>
      <c r="B82" s="45"/>
      <c r="C82" s="45"/>
      <c r="D82" s="45"/>
      <c r="E82" s="45"/>
      <c r="F82" s="45"/>
      <c r="G82" s="45"/>
      <c r="H82" s="45"/>
    </row>
    <row r="83" spans="1:8" ht="22.5" customHeight="1">
      <c r="A83" s="45"/>
      <c r="B83" s="45"/>
      <c r="C83" s="45"/>
      <c r="D83" s="45"/>
      <c r="E83" s="45"/>
      <c r="F83" s="45"/>
      <c r="G83" s="45"/>
      <c r="H83" s="45"/>
    </row>
    <row r="84" spans="1:8" ht="18.75">
      <c r="A84" s="45"/>
      <c r="B84" s="45"/>
      <c r="C84" s="45"/>
      <c r="D84" s="45"/>
      <c r="E84" s="45"/>
      <c r="F84" s="45"/>
      <c r="G84" s="45"/>
      <c r="H84" s="45"/>
    </row>
    <row r="85" spans="1:8" ht="18.75">
      <c r="A85" s="45"/>
      <c r="B85" s="45"/>
      <c r="C85" s="45"/>
      <c r="D85" s="45"/>
      <c r="E85" s="45"/>
      <c r="F85" s="45"/>
      <c r="G85" s="45"/>
      <c r="H85" s="45"/>
    </row>
    <row r="86" spans="1:8" ht="18.75">
      <c r="A86" s="45"/>
      <c r="B86" s="45"/>
      <c r="C86" s="45"/>
      <c r="D86" s="45"/>
      <c r="E86" s="45"/>
      <c r="F86" s="45"/>
      <c r="G86" s="45"/>
      <c r="H86" s="45"/>
    </row>
    <row r="87" spans="1:8" ht="18.75">
      <c r="A87" s="45"/>
      <c r="B87" s="45"/>
      <c r="C87" s="45"/>
      <c r="D87" s="45"/>
      <c r="E87" s="45"/>
      <c r="F87" s="45"/>
      <c r="G87" s="45"/>
      <c r="H87" s="45"/>
    </row>
  </sheetData>
  <mergeCells count="9">
    <mergeCell ref="A70:J70"/>
    <mergeCell ref="A3:H3"/>
    <mergeCell ref="A4:H4"/>
    <mergeCell ref="A7:A8"/>
    <mergeCell ref="B7:B8"/>
    <mergeCell ref="C7:D7"/>
    <mergeCell ref="E7:F7"/>
    <mergeCell ref="G7:H7"/>
    <mergeCell ref="G5:H6"/>
  </mergeCells>
  <phoneticPr fontId="23" type="noConversion"/>
  <pageMargins left="0.83" right="0.37" top="0.56999999999999995" bottom="0.48" header="0.2" footer="0.2"/>
  <pageSetup paperSize="9" scale="73" fitToHeight="0" orientation="landscape" r:id="rId1"/>
  <headerFooter alignWithMargins="0">
    <oddFooter xml:space="preserve">&amp;C&amp;"Arial,Regular"&amp;12&amp;P/&amp;N&amp;".VnTime,  Italic"&amp;8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Zeros="0" topLeftCell="A19" workbookViewId="0">
      <selection activeCell="C15" sqref="C15"/>
    </sheetView>
  </sheetViews>
  <sheetFormatPr defaultRowHeight="16.5"/>
  <cols>
    <col min="1" max="1" width="7" style="179" customWidth="1"/>
    <col min="2" max="2" width="51.7109375" style="179" customWidth="1"/>
    <col min="3" max="3" width="20" style="179" customWidth="1"/>
    <col min="4" max="4" width="19.7109375" style="179" customWidth="1"/>
    <col min="5" max="5" width="13.5703125" style="179" customWidth="1"/>
    <col min="6" max="6" width="21.42578125" style="179" customWidth="1"/>
    <col min="7" max="16384" width="9.140625" style="179"/>
  </cols>
  <sheetData>
    <row r="1" spans="1:6" ht="16.5" customHeight="1">
      <c r="A1" s="177" t="s">
        <v>382</v>
      </c>
      <c r="B1" s="178"/>
      <c r="C1" s="178"/>
      <c r="E1" s="180"/>
    </row>
    <row r="2" spans="1:6">
      <c r="A2" s="181" t="s">
        <v>0</v>
      </c>
    </row>
    <row r="3" spans="1:6" s="182" customFormat="1" ht="19.5">
      <c r="A3" s="351" t="s">
        <v>442</v>
      </c>
      <c r="B3" s="351"/>
      <c r="C3" s="351"/>
      <c r="D3" s="351"/>
      <c r="E3" s="351"/>
    </row>
    <row r="4" spans="1:6" s="182" customFormat="1" ht="19.5">
      <c r="A4" s="352" t="s">
        <v>435</v>
      </c>
      <c r="B4" s="352"/>
      <c r="C4" s="352"/>
      <c r="D4" s="352"/>
      <c r="E4" s="352"/>
    </row>
    <row r="5" spans="1:6">
      <c r="A5" s="181" t="s">
        <v>0</v>
      </c>
    </row>
    <row r="6" spans="1:6">
      <c r="A6" s="353" t="s">
        <v>440</v>
      </c>
      <c r="B6" s="353"/>
      <c r="C6" s="353"/>
      <c r="D6" s="353"/>
      <c r="E6" s="353"/>
    </row>
    <row r="7" spans="1:6" ht="6.75" customHeight="1">
      <c r="A7" s="181" t="s">
        <v>0</v>
      </c>
    </row>
    <row r="8" spans="1:6" ht="33.75" customHeight="1">
      <c r="A8" s="183" t="s">
        <v>1</v>
      </c>
      <c r="B8" s="183" t="s">
        <v>2</v>
      </c>
      <c r="C8" s="183" t="s">
        <v>541</v>
      </c>
      <c r="D8" s="183" t="s">
        <v>542</v>
      </c>
      <c r="E8" s="183" t="s">
        <v>5</v>
      </c>
    </row>
    <row r="9" spans="1:6">
      <c r="A9" s="183" t="s">
        <v>6</v>
      </c>
      <c r="B9" s="183" t="s">
        <v>23</v>
      </c>
      <c r="C9" s="183">
        <v>1</v>
      </c>
      <c r="D9" s="183">
        <v>2</v>
      </c>
      <c r="E9" s="183" t="s">
        <v>389</v>
      </c>
    </row>
    <row r="10" spans="1:6" s="185" customFormat="1" ht="27" customHeight="1">
      <c r="A10" s="184"/>
      <c r="B10" s="184" t="s">
        <v>44</v>
      </c>
      <c r="C10" s="199">
        <f>C11+C28+C37</f>
        <v>407254</v>
      </c>
      <c r="D10" s="199">
        <f>D11+D28+D36+D37</f>
        <v>599863.87984399998</v>
      </c>
      <c r="E10" s="246">
        <f>D10/C10</f>
        <v>1.47294779141273</v>
      </c>
      <c r="F10" s="221">
        <f>599863879844/1000000</f>
        <v>599863.87984399998</v>
      </c>
    </row>
    <row r="11" spans="1:6" s="185" customFormat="1" ht="21.95" customHeight="1">
      <c r="A11" s="186" t="s">
        <v>6</v>
      </c>
      <c r="B11" s="187" t="s">
        <v>7</v>
      </c>
      <c r="C11" s="200">
        <f>C12+C22+C26+C27</f>
        <v>398125</v>
      </c>
      <c r="D11" s="200">
        <f>D12+D22+D26+D27</f>
        <v>386191.95919900003</v>
      </c>
      <c r="E11" s="247">
        <f t="shared" ref="E11:E28" si="0">D11/C11</f>
        <v>0.97002689908697026</v>
      </c>
      <c r="F11" s="198">
        <v>181.2</v>
      </c>
    </row>
    <row r="12" spans="1:6" s="185" customFormat="1" ht="21.95" customHeight="1">
      <c r="A12" s="186" t="s">
        <v>8</v>
      </c>
      <c r="B12" s="187" t="s">
        <v>9</v>
      </c>
      <c r="C12" s="200">
        <f>C13+C20+C21</f>
        <v>24774</v>
      </c>
      <c r="D12" s="200">
        <f>D13</f>
        <v>29615.366952999997</v>
      </c>
      <c r="E12" s="247">
        <f t="shared" si="0"/>
        <v>1.1954212865504157</v>
      </c>
      <c r="F12" s="221">
        <f>SUM(F10:F11)</f>
        <v>600045.07984399993</v>
      </c>
    </row>
    <row r="13" spans="1:6" ht="21.95" customHeight="1">
      <c r="A13" s="188" t="s">
        <v>10</v>
      </c>
      <c r="B13" s="189" t="s">
        <v>11</v>
      </c>
      <c r="C13" s="201">
        <f>7920-790+8030+8824</f>
        <v>23984</v>
      </c>
      <c r="D13" s="201">
        <f>28701.97672+913.390233</f>
        <v>29615.366952999997</v>
      </c>
      <c r="E13" s="248">
        <f t="shared" si="0"/>
        <v>1.2347968209222815</v>
      </c>
    </row>
    <row r="14" spans="1:6" s="192" customFormat="1" ht="21.95" customHeight="1">
      <c r="A14" s="190"/>
      <c r="B14" s="191" t="s">
        <v>416</v>
      </c>
      <c r="C14" s="202"/>
      <c r="D14" s="202"/>
      <c r="E14" s="249"/>
    </row>
    <row r="15" spans="1:6" ht="21.95" customHeight="1">
      <c r="A15" s="188" t="s">
        <v>12</v>
      </c>
      <c r="B15" s="189" t="s">
        <v>13</v>
      </c>
      <c r="C15" s="201">
        <v>1850</v>
      </c>
      <c r="D15" s="201">
        <v>10674.523499999999</v>
      </c>
      <c r="E15" s="248">
        <f t="shared" si="0"/>
        <v>5.7700127027027026</v>
      </c>
    </row>
    <row r="16" spans="1:6" ht="21.95" customHeight="1">
      <c r="A16" s="188" t="s">
        <v>12</v>
      </c>
      <c r="B16" s="189" t="s">
        <v>14</v>
      </c>
      <c r="C16" s="201"/>
      <c r="D16" s="201"/>
      <c r="E16" s="248"/>
    </row>
    <row r="17" spans="1:5" s="192" customFormat="1" ht="21.95" customHeight="1">
      <c r="A17" s="190"/>
      <c r="B17" s="191" t="s">
        <v>415</v>
      </c>
      <c r="C17" s="202"/>
      <c r="D17" s="202"/>
      <c r="E17" s="249"/>
    </row>
    <row r="18" spans="1:5" ht="21.95" customHeight="1">
      <c r="A18" s="193" t="s">
        <v>12</v>
      </c>
      <c r="B18" s="189" t="s">
        <v>253</v>
      </c>
      <c r="C18" s="201">
        <v>16744</v>
      </c>
      <c r="D18" s="201">
        <f>6048.28756+913.390233</f>
        <v>6961.6777929999998</v>
      </c>
      <c r="E18" s="248"/>
    </row>
    <row r="19" spans="1:5" ht="21.95" customHeight="1">
      <c r="A19" s="188" t="s">
        <v>12</v>
      </c>
      <c r="B19" s="189" t="s">
        <v>15</v>
      </c>
      <c r="C19" s="201"/>
      <c r="D19" s="201"/>
      <c r="E19" s="248"/>
    </row>
    <row r="20" spans="1:5" ht="66">
      <c r="A20" s="193" t="s">
        <v>18</v>
      </c>
      <c r="B20" s="194" t="s">
        <v>427</v>
      </c>
      <c r="C20" s="201"/>
      <c r="D20" s="201"/>
      <c r="E20" s="248"/>
    </row>
    <row r="21" spans="1:5" ht="21.95" customHeight="1">
      <c r="A21" s="193" t="s">
        <v>27</v>
      </c>
      <c r="B21" s="195" t="s">
        <v>49</v>
      </c>
      <c r="C21" s="201">
        <v>790</v>
      </c>
      <c r="D21" s="201"/>
      <c r="E21" s="248"/>
    </row>
    <row r="22" spans="1:5" s="185" customFormat="1" ht="21.95" customHeight="1">
      <c r="A22" s="186" t="s">
        <v>16</v>
      </c>
      <c r="B22" s="187" t="s">
        <v>17</v>
      </c>
      <c r="C22" s="200">
        <f>365387-7589</f>
        <v>357798</v>
      </c>
      <c r="D22" s="200">
        <f>'53'!F22</f>
        <v>356576.59224600001</v>
      </c>
      <c r="E22" s="247">
        <f t="shared" si="0"/>
        <v>0.99658632034276329</v>
      </c>
    </row>
    <row r="23" spans="1:5" s="192" customFormat="1" ht="21.95" customHeight="1">
      <c r="A23" s="190"/>
      <c r="B23" s="191" t="s">
        <v>202</v>
      </c>
      <c r="C23" s="202"/>
      <c r="D23" s="202"/>
      <c r="E23" s="249"/>
    </row>
    <row r="24" spans="1:5" ht="21.95" customHeight="1">
      <c r="A24" s="188" t="s">
        <v>10</v>
      </c>
      <c r="B24" s="189" t="s">
        <v>13</v>
      </c>
      <c r="C24" s="201">
        <v>210320</v>
      </c>
      <c r="D24" s="201">
        <f>'53'!F24</f>
        <v>202821.24976700003</v>
      </c>
      <c r="E24" s="248">
        <f t="shared" si="0"/>
        <v>0.96434599546880961</v>
      </c>
    </row>
    <row r="25" spans="1:5" ht="21.95" customHeight="1">
      <c r="A25" s="188" t="s">
        <v>18</v>
      </c>
      <c r="B25" s="189" t="s">
        <v>14</v>
      </c>
      <c r="C25" s="201">
        <v>150</v>
      </c>
      <c r="D25" s="201">
        <f>'53'!F25</f>
        <v>149.96250000000001</v>
      </c>
      <c r="E25" s="248">
        <f t="shared" si="0"/>
        <v>0.99975000000000003</v>
      </c>
    </row>
    <row r="26" spans="1:5" s="185" customFormat="1" ht="21.95" customHeight="1">
      <c r="A26" s="186" t="s">
        <v>50</v>
      </c>
      <c r="B26" s="187" t="s">
        <v>20</v>
      </c>
      <c r="C26" s="200">
        <v>7964</v>
      </c>
      <c r="D26" s="200">
        <v>0</v>
      </c>
      <c r="E26" s="248">
        <f t="shared" si="0"/>
        <v>0</v>
      </c>
    </row>
    <row r="27" spans="1:5" s="185" customFormat="1" ht="21.95" customHeight="1">
      <c r="A27" s="186" t="s">
        <v>51</v>
      </c>
      <c r="B27" s="187" t="s">
        <v>22</v>
      </c>
      <c r="C27" s="200">
        <f>6029+1560</f>
        <v>7589</v>
      </c>
      <c r="D27" s="200">
        <v>0</v>
      </c>
      <c r="E27" s="248">
        <f t="shared" si="0"/>
        <v>0</v>
      </c>
    </row>
    <row r="28" spans="1:5" s="185" customFormat="1" ht="21.95" customHeight="1">
      <c r="A28" s="186" t="s">
        <v>23</v>
      </c>
      <c r="B28" s="187" t="s">
        <v>24</v>
      </c>
      <c r="C28" s="200">
        <f>C29+C33</f>
        <v>9129</v>
      </c>
      <c r="D28" s="200">
        <f>D29+D33</f>
        <v>51746.445286999995</v>
      </c>
      <c r="E28" s="247">
        <f t="shared" si="0"/>
        <v>5.6683585592069221</v>
      </c>
    </row>
    <row r="29" spans="1:5" s="185" customFormat="1" ht="21.95" customHeight="1">
      <c r="A29" s="186" t="s">
        <v>8</v>
      </c>
      <c r="B29" s="187" t="s">
        <v>25</v>
      </c>
      <c r="C29" s="200">
        <f>C30+C31</f>
        <v>0</v>
      </c>
      <c r="D29" s="200">
        <f>D30+D31+D32</f>
        <v>23950.479649000001</v>
      </c>
      <c r="E29" s="247"/>
    </row>
    <row r="30" spans="1:5" ht="21.95" customHeight="1">
      <c r="A30" s="188">
        <v>1</v>
      </c>
      <c r="B30" s="189" t="s">
        <v>247</v>
      </c>
      <c r="C30" s="201"/>
      <c r="D30" s="201">
        <f>'53'!F30</f>
        <v>1028.9078489999999</v>
      </c>
      <c r="E30" s="248"/>
    </row>
    <row r="31" spans="1:5" ht="21.95" customHeight="1">
      <c r="A31" s="188">
        <v>2</v>
      </c>
      <c r="B31" s="189" t="s">
        <v>248</v>
      </c>
      <c r="C31" s="201"/>
      <c r="D31" s="201">
        <f>'53'!F33</f>
        <v>7097.166311</v>
      </c>
      <c r="E31" s="248"/>
    </row>
    <row r="32" spans="1:5" ht="39.950000000000003" customHeight="1">
      <c r="A32" s="193" t="s">
        <v>27</v>
      </c>
      <c r="B32" s="189" t="s">
        <v>447</v>
      </c>
      <c r="C32" s="201"/>
      <c r="D32" s="201">
        <f>'53'!F36</f>
        <v>15824.405489000001</v>
      </c>
      <c r="E32" s="248"/>
    </row>
    <row r="33" spans="1:5" s="185" customFormat="1" ht="21.95" customHeight="1">
      <c r="A33" s="186" t="s">
        <v>16</v>
      </c>
      <c r="B33" s="187" t="s">
        <v>26</v>
      </c>
      <c r="C33" s="200">
        <f>C34+C35</f>
        <v>9129</v>
      </c>
      <c r="D33" s="200">
        <f>D34+D35</f>
        <v>27795.965637999998</v>
      </c>
      <c r="E33" s="247">
        <f>D33/C33</f>
        <v>3.0447985144046443</v>
      </c>
    </row>
    <row r="34" spans="1:5" ht="21.95" customHeight="1">
      <c r="A34" s="193" t="s">
        <v>10</v>
      </c>
      <c r="B34" s="189" t="s">
        <v>418</v>
      </c>
      <c r="C34" s="201">
        <f>'53'!C40</f>
        <v>7999</v>
      </c>
      <c r="D34" s="201">
        <f>'53'!F40</f>
        <v>11054.885907</v>
      </c>
      <c r="E34" s="248">
        <f>D34/C34</f>
        <v>1.3820334925615703</v>
      </c>
    </row>
    <row r="35" spans="1:5" ht="21.95" customHeight="1">
      <c r="A35" s="193" t="s">
        <v>18</v>
      </c>
      <c r="B35" s="189" t="s">
        <v>420</v>
      </c>
      <c r="C35" s="201">
        <f>'53'!C47</f>
        <v>1130</v>
      </c>
      <c r="D35" s="201">
        <f>'53'!F47</f>
        <v>16741.079730999998</v>
      </c>
      <c r="E35" s="248">
        <f t="shared" ref="E35" si="1">D35/C35</f>
        <v>14.815114806194689</v>
      </c>
    </row>
    <row r="36" spans="1:5" s="185" customFormat="1" ht="21.95" customHeight="1">
      <c r="A36" s="186" t="s">
        <v>41</v>
      </c>
      <c r="B36" s="187" t="s">
        <v>42</v>
      </c>
      <c r="C36" s="200"/>
      <c r="D36" s="200">
        <v>134436.32114399999</v>
      </c>
      <c r="E36" s="247"/>
    </row>
    <row r="37" spans="1:5" s="185" customFormat="1" ht="21.95" customHeight="1">
      <c r="A37" s="196" t="s">
        <v>158</v>
      </c>
      <c r="B37" s="197" t="s">
        <v>249</v>
      </c>
      <c r="C37" s="203"/>
      <c r="D37" s="203">
        <v>27489.154213999998</v>
      </c>
      <c r="E37" s="250"/>
    </row>
    <row r="38" spans="1:5" ht="6" customHeight="1">
      <c r="A38" s="181" t="s">
        <v>0</v>
      </c>
    </row>
    <row r="39" spans="1:5" s="79" customFormat="1">
      <c r="A39" s="176" t="s">
        <v>446</v>
      </c>
    </row>
    <row r="40" spans="1:5" s="175" customFormat="1" ht="20.25" customHeight="1">
      <c r="A40" s="174" t="s">
        <v>445</v>
      </c>
    </row>
    <row r="41" spans="1:5" s="82" customFormat="1" ht="36" customHeight="1">
      <c r="A41" s="355" t="s">
        <v>444</v>
      </c>
      <c r="B41" s="355"/>
      <c r="C41" s="355"/>
      <c r="D41" s="355"/>
      <c r="E41" s="355"/>
    </row>
    <row r="42" spans="1:5">
      <c r="A42" s="354"/>
      <c r="B42" s="354"/>
      <c r="C42" s="354"/>
    </row>
  </sheetData>
  <mergeCells count="5">
    <mergeCell ref="A3:E3"/>
    <mergeCell ref="A4:E4"/>
    <mergeCell ref="A6:E6"/>
    <mergeCell ref="A42:C42"/>
    <mergeCell ref="A41:E41"/>
  </mergeCells>
  <phoneticPr fontId="29" type="noConversion"/>
  <pageMargins left="0.74" right="0.33" top="0.75" bottom="0.62" header="0.3" footer="0.3"/>
  <pageSetup paperSize="9" scale="80" orientation="portrait" verticalDpi="0" r:id="rId1"/>
  <headerFooter>
    <oddFooter>&amp;C&amp;12&amp;P/&amp;N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0"/>
  <sheetViews>
    <sheetView showGridLines="0" showZeros="0" topLeftCell="A13" zoomScaleNormal="100" workbookViewId="0">
      <selection activeCell="A3" sqref="A3:F3"/>
    </sheetView>
  </sheetViews>
  <sheetFormatPr defaultRowHeight="16.5"/>
  <cols>
    <col min="1" max="1" width="6.28515625" style="94" customWidth="1"/>
    <col min="2" max="2" width="36.140625" style="94" customWidth="1"/>
    <col min="3" max="3" width="18.7109375" style="94" customWidth="1"/>
    <col min="4" max="4" width="18.5703125" style="94" customWidth="1"/>
    <col min="5" max="5" width="17.7109375" style="94" customWidth="1"/>
    <col min="6" max="6" width="13.42578125" style="94" customWidth="1"/>
    <col min="7" max="7" width="20.85546875" style="125" customWidth="1"/>
    <col min="8" max="8" width="19.42578125" style="125" customWidth="1"/>
    <col min="9" max="9" width="20.85546875" style="126" customWidth="1"/>
    <col min="10" max="10" width="18" style="127" customWidth="1"/>
    <col min="11" max="11" width="19.140625" style="127" customWidth="1"/>
    <col min="12" max="12" width="19" style="132" customWidth="1"/>
    <col min="13" max="16384" width="9.140625" style="94"/>
  </cols>
  <sheetData>
    <row r="1" spans="1:12" s="123" customFormat="1">
      <c r="A1" s="122" t="s">
        <v>244</v>
      </c>
      <c r="F1" s="124"/>
      <c r="G1" s="125"/>
      <c r="H1" s="125"/>
      <c r="I1" s="126"/>
      <c r="J1" s="127"/>
      <c r="K1" s="127"/>
      <c r="L1" s="128"/>
    </row>
    <row r="2" spans="1:12" s="123" customFormat="1">
      <c r="A2" s="129" t="s">
        <v>0</v>
      </c>
      <c r="G2" s="125"/>
      <c r="H2" s="125"/>
      <c r="I2" s="126"/>
      <c r="J2" s="127"/>
      <c r="K2" s="127"/>
      <c r="L2" s="128"/>
    </row>
    <row r="3" spans="1:12" s="123" customFormat="1" ht="18.75">
      <c r="A3" s="358" t="s">
        <v>448</v>
      </c>
      <c r="B3" s="358"/>
      <c r="C3" s="358"/>
      <c r="D3" s="358"/>
      <c r="E3" s="358"/>
      <c r="F3" s="358"/>
      <c r="G3" s="125"/>
      <c r="H3" s="125"/>
      <c r="I3" s="126"/>
      <c r="J3" s="127"/>
      <c r="K3" s="127"/>
      <c r="L3" s="128"/>
    </row>
    <row r="4" spans="1:12" s="123" customFormat="1" ht="23.25" customHeight="1">
      <c r="A4" s="359" t="s">
        <v>435</v>
      </c>
      <c r="B4" s="359"/>
      <c r="C4" s="359"/>
      <c r="D4" s="359"/>
      <c r="E4" s="359"/>
      <c r="F4" s="359"/>
      <c r="G4" s="125"/>
      <c r="H4" s="125"/>
      <c r="I4" s="126"/>
      <c r="J4" s="127"/>
      <c r="K4" s="127"/>
      <c r="L4" s="128"/>
    </row>
    <row r="5" spans="1:12" s="123" customFormat="1">
      <c r="A5" s="129" t="s">
        <v>0</v>
      </c>
      <c r="G5" s="125"/>
      <c r="H5" s="125"/>
      <c r="I5" s="126"/>
      <c r="J5" s="127"/>
      <c r="K5" s="127"/>
      <c r="L5" s="128"/>
    </row>
    <row r="6" spans="1:12" ht="22.5" customHeight="1">
      <c r="A6" s="130" t="s">
        <v>0</v>
      </c>
      <c r="F6" s="131" t="s">
        <v>440</v>
      </c>
    </row>
    <row r="7" spans="1:12" ht="20.25" customHeight="1">
      <c r="A7" s="360" t="s">
        <v>134</v>
      </c>
      <c r="B7" s="360" t="s">
        <v>43</v>
      </c>
      <c r="C7" s="360" t="s">
        <v>461</v>
      </c>
      <c r="D7" s="360" t="s">
        <v>462</v>
      </c>
      <c r="E7" s="360" t="s">
        <v>251</v>
      </c>
      <c r="F7" s="360"/>
    </row>
    <row r="8" spans="1:12" ht="36" customHeight="1">
      <c r="A8" s="360"/>
      <c r="B8" s="360"/>
      <c r="C8" s="360"/>
      <c r="D8" s="360"/>
      <c r="E8" s="133" t="s">
        <v>136</v>
      </c>
      <c r="F8" s="133" t="s">
        <v>250</v>
      </c>
    </row>
    <row r="9" spans="1:12">
      <c r="A9" s="133" t="s">
        <v>6</v>
      </c>
      <c r="B9" s="133" t="s">
        <v>23</v>
      </c>
      <c r="C9" s="133">
        <v>1</v>
      </c>
      <c r="D9" s="133">
        <v>2</v>
      </c>
      <c r="E9" s="133" t="s">
        <v>138</v>
      </c>
      <c r="F9" s="133" t="s">
        <v>139</v>
      </c>
    </row>
    <row r="10" spans="1:12" ht="24.75" customHeight="1">
      <c r="A10" s="134"/>
      <c r="B10" s="135" t="s">
        <v>44</v>
      </c>
      <c r="C10" s="206">
        <f>C11+C12+C47+C48</f>
        <v>405699</v>
      </c>
      <c r="D10" s="206">
        <f>D11+D12+D47+D48</f>
        <v>589084.19731999992</v>
      </c>
      <c r="E10" s="206">
        <f>E11+E12+E47+E48</f>
        <v>183296.97432000001</v>
      </c>
      <c r="F10" s="209">
        <f>D10/C10</f>
        <v>1.4520227984786749</v>
      </c>
    </row>
    <row r="11" spans="1:12" s="142" customFormat="1" ht="39.950000000000003" customHeight="1">
      <c r="A11" s="136" t="s">
        <v>6</v>
      </c>
      <c r="B11" s="137" t="s">
        <v>245</v>
      </c>
      <c r="C11" s="205">
        <v>68398</v>
      </c>
      <c r="D11" s="205">
        <v>88874.811111999996</v>
      </c>
      <c r="E11" s="205">
        <f>D11-C11</f>
        <v>20476.811111999996</v>
      </c>
      <c r="F11" s="210">
        <f>D11/C11</f>
        <v>1.2993773372320827</v>
      </c>
      <c r="G11" s="138">
        <v>69953</v>
      </c>
      <c r="H11" s="138"/>
      <c r="I11" s="139"/>
      <c r="J11" s="140"/>
      <c r="K11" s="140"/>
      <c r="L11" s="141"/>
    </row>
    <row r="12" spans="1:12" s="142" customFormat="1" ht="39.950000000000003" customHeight="1">
      <c r="A12" s="136" t="s">
        <v>23</v>
      </c>
      <c r="B12" s="137" t="s">
        <v>246</v>
      </c>
      <c r="C12" s="205">
        <f>C13+C29+C43+C44+C45+C46</f>
        <v>337301</v>
      </c>
      <c r="D12" s="205">
        <f>D13+D29+D43+D44+D45+D46</f>
        <v>362472.533016</v>
      </c>
      <c r="E12" s="205">
        <f>E13+E29+E43+E44+E45+E46</f>
        <v>25083.31001600001</v>
      </c>
      <c r="F12" s="210">
        <f t="shared" ref="F12:F42" si="0">D12/C12</f>
        <v>1.0746263219379724</v>
      </c>
      <c r="G12" s="204">
        <f>C11-G11</f>
        <v>-1555</v>
      </c>
      <c r="H12" s="143"/>
      <c r="I12" s="144"/>
      <c r="J12" s="140"/>
      <c r="K12" s="140"/>
      <c r="L12" s="141"/>
    </row>
    <row r="13" spans="1:12" ht="21.95" customHeight="1">
      <c r="A13" s="136" t="s">
        <v>8</v>
      </c>
      <c r="B13" s="137" t="s">
        <v>9</v>
      </c>
      <c r="C13" s="205">
        <f>C14+C28</f>
        <v>31873</v>
      </c>
      <c r="D13" s="205">
        <f>D14+D28</f>
        <v>58323.994695000001</v>
      </c>
      <c r="E13" s="205">
        <f>E14+E28</f>
        <v>26362.771695000003</v>
      </c>
      <c r="F13" s="210">
        <f t="shared" si="0"/>
        <v>1.8298871990399399</v>
      </c>
      <c r="G13" s="138"/>
      <c r="H13" s="138"/>
      <c r="I13" s="138"/>
    </row>
    <row r="14" spans="1:12" ht="21.95" customHeight="1">
      <c r="A14" s="92" t="s">
        <v>10</v>
      </c>
      <c r="B14" s="93" t="s">
        <v>11</v>
      </c>
      <c r="C14" s="207">
        <f>SUM(C15:C27)</f>
        <v>30074</v>
      </c>
      <c r="D14" s="207">
        <f t="shared" ref="D14" si="1">SUM(D15:D27)</f>
        <v>58323.994695000001</v>
      </c>
      <c r="E14" s="207">
        <f>SUM(E15:E27)</f>
        <v>28161.771695000003</v>
      </c>
      <c r="F14" s="211">
        <f t="shared" si="0"/>
        <v>1.9393494279111525</v>
      </c>
      <c r="I14" s="125"/>
    </row>
    <row r="15" spans="1:12" ht="21.95" customHeight="1">
      <c r="A15" s="92" t="s">
        <v>12</v>
      </c>
      <c r="B15" s="93" t="s">
        <v>46</v>
      </c>
      <c r="C15" s="207"/>
      <c r="D15" s="207"/>
      <c r="E15" s="207">
        <f>D15-C15</f>
        <v>0</v>
      </c>
      <c r="F15" s="211"/>
      <c r="I15" s="125"/>
    </row>
    <row r="16" spans="1:12" ht="21.95" customHeight="1">
      <c r="A16" s="92" t="s">
        <v>12</v>
      </c>
      <c r="B16" s="93" t="s">
        <v>47</v>
      </c>
      <c r="C16" s="207"/>
      <c r="D16" s="207"/>
      <c r="E16" s="207"/>
      <c r="F16" s="211"/>
      <c r="I16" s="125"/>
    </row>
    <row r="17" spans="1:12" ht="21.95" customHeight="1">
      <c r="A17" s="92" t="s">
        <v>12</v>
      </c>
      <c r="B17" s="93" t="s">
        <v>451</v>
      </c>
      <c r="C17" s="207">
        <v>5550</v>
      </c>
      <c r="D17" s="207">
        <v>12043.220499999999</v>
      </c>
      <c r="E17" s="207">
        <f t="shared" ref="E17:E19" si="2">D17-C17</f>
        <v>6493.2204999999994</v>
      </c>
      <c r="F17" s="211">
        <f t="shared" si="0"/>
        <v>2.1699496396396394</v>
      </c>
      <c r="I17" s="125"/>
    </row>
    <row r="18" spans="1:12" ht="21.95" customHeight="1">
      <c r="A18" s="92" t="s">
        <v>12</v>
      </c>
      <c r="B18" s="93" t="s">
        <v>452</v>
      </c>
      <c r="C18" s="207"/>
      <c r="D18" s="207">
        <v>0</v>
      </c>
      <c r="E18" s="207">
        <f t="shared" si="2"/>
        <v>0</v>
      </c>
      <c r="F18" s="211"/>
      <c r="I18" s="125"/>
    </row>
    <row r="19" spans="1:12" ht="21.95" customHeight="1">
      <c r="A19" s="92" t="s">
        <v>12</v>
      </c>
      <c r="B19" s="93" t="s">
        <v>429</v>
      </c>
      <c r="C19" s="207"/>
      <c r="D19" s="207">
        <v>0</v>
      </c>
      <c r="E19" s="207">
        <f t="shared" si="2"/>
        <v>0</v>
      </c>
      <c r="F19" s="211"/>
      <c r="I19" s="125"/>
    </row>
    <row r="20" spans="1:12" ht="21.95" customHeight="1">
      <c r="A20" s="92" t="s">
        <v>12</v>
      </c>
      <c r="B20" s="93" t="s">
        <v>453</v>
      </c>
      <c r="C20" s="207"/>
      <c r="D20" s="207">
        <v>565.97070299999996</v>
      </c>
      <c r="E20" s="207">
        <f t="shared" ref="E20:E28" si="3">D20-C20</f>
        <v>565.97070299999996</v>
      </c>
      <c r="F20" s="211"/>
      <c r="I20" s="125"/>
    </row>
    <row r="21" spans="1:12" ht="39.950000000000003" customHeight="1">
      <c r="A21" s="92" t="s">
        <v>12</v>
      </c>
      <c r="B21" s="93" t="s">
        <v>454</v>
      </c>
      <c r="C21" s="207">
        <v>1905</v>
      </c>
      <c r="D21" s="207">
        <v>2415.5369999999998</v>
      </c>
      <c r="E21" s="207">
        <f t="shared" si="3"/>
        <v>510.53699999999981</v>
      </c>
      <c r="F21" s="211">
        <f t="shared" si="0"/>
        <v>1.2679984251968504</v>
      </c>
      <c r="I21" s="125"/>
    </row>
    <row r="22" spans="1:12" ht="21.95" customHeight="1">
      <c r="A22" s="92" t="s">
        <v>12</v>
      </c>
      <c r="B22" s="93" t="s">
        <v>455</v>
      </c>
      <c r="C22" s="207"/>
      <c r="D22" s="207">
        <v>88.222999999999999</v>
      </c>
      <c r="E22" s="207"/>
      <c r="F22" s="211"/>
      <c r="I22" s="125"/>
    </row>
    <row r="23" spans="1:12" ht="21.95" customHeight="1">
      <c r="A23" s="92" t="s">
        <v>12</v>
      </c>
      <c r="B23" s="93" t="s">
        <v>456</v>
      </c>
      <c r="C23" s="207"/>
      <c r="D23" s="207">
        <v>0</v>
      </c>
      <c r="E23" s="207"/>
      <c r="F23" s="211"/>
      <c r="I23" s="125"/>
    </row>
    <row r="24" spans="1:12" ht="21.95" customHeight="1">
      <c r="A24" s="92" t="s">
        <v>12</v>
      </c>
      <c r="B24" s="93" t="s">
        <v>48</v>
      </c>
      <c r="C24" s="207">
        <f>7332-900</f>
        <v>6432</v>
      </c>
      <c r="D24" s="207">
        <v>30946.033286000002</v>
      </c>
      <c r="E24" s="207">
        <f t="shared" si="3"/>
        <v>24514.033286000002</v>
      </c>
      <c r="F24" s="211">
        <f t="shared" si="0"/>
        <v>4.8112613939676621</v>
      </c>
      <c r="I24" s="125"/>
    </row>
    <row r="25" spans="1:12" ht="39.950000000000003" customHeight="1">
      <c r="A25" s="92" t="s">
        <v>12</v>
      </c>
      <c r="B25" s="93" t="s">
        <v>457</v>
      </c>
      <c r="C25" s="207">
        <v>16187</v>
      </c>
      <c r="D25" s="207">
        <v>12265.010206000001</v>
      </c>
      <c r="E25" s="207">
        <f t="shared" si="3"/>
        <v>-3921.9897939999992</v>
      </c>
      <c r="F25" s="211">
        <f t="shared" si="0"/>
        <v>0.757707432260456</v>
      </c>
      <c r="I25" s="125"/>
    </row>
    <row r="26" spans="1:12" ht="21.95" customHeight="1">
      <c r="A26" s="92" t="s">
        <v>12</v>
      </c>
      <c r="B26" s="93" t="s">
        <v>458</v>
      </c>
      <c r="C26" s="207"/>
      <c r="D26" s="207"/>
      <c r="E26" s="207"/>
      <c r="F26" s="211"/>
      <c r="I26" s="125"/>
    </row>
    <row r="27" spans="1:12" ht="21.95" customHeight="1">
      <c r="A27" s="92" t="s">
        <v>12</v>
      </c>
      <c r="B27" s="93" t="s">
        <v>459</v>
      </c>
      <c r="C27" s="207"/>
      <c r="D27" s="207"/>
      <c r="E27" s="207"/>
      <c r="F27" s="211"/>
      <c r="I27" s="125"/>
      <c r="L27" s="356"/>
    </row>
    <row r="28" spans="1:12" ht="21.95" customHeight="1">
      <c r="A28" s="92">
        <v>2</v>
      </c>
      <c r="B28" s="93" t="s">
        <v>49</v>
      </c>
      <c r="C28" s="207">
        <f>1799</f>
        <v>1799</v>
      </c>
      <c r="D28" s="207"/>
      <c r="E28" s="207">
        <f t="shared" si="3"/>
        <v>-1799</v>
      </c>
      <c r="F28" s="211">
        <f t="shared" si="0"/>
        <v>0</v>
      </c>
      <c r="G28" s="143"/>
      <c r="H28" s="143"/>
      <c r="I28" s="139"/>
      <c r="J28" s="145"/>
      <c r="K28" s="145"/>
      <c r="L28" s="356"/>
    </row>
    <row r="29" spans="1:12" ht="21.95" customHeight="1">
      <c r="A29" s="136" t="s">
        <v>16</v>
      </c>
      <c r="B29" s="137" t="s">
        <v>17</v>
      </c>
      <c r="C29" s="205">
        <f>SUM(C30:C42)</f>
        <v>292816.5</v>
      </c>
      <c r="D29" s="205">
        <f t="shared" ref="D29:E29" si="4">SUM(D30:D42)</f>
        <v>304148.538321</v>
      </c>
      <c r="E29" s="205">
        <f t="shared" si="4"/>
        <v>11332.038321000005</v>
      </c>
      <c r="F29" s="210">
        <f t="shared" si="0"/>
        <v>1.0387001358222641</v>
      </c>
      <c r="G29" s="138"/>
      <c r="H29" s="138"/>
      <c r="I29" s="138"/>
      <c r="J29" s="138"/>
      <c r="K29" s="138"/>
    </row>
    <row r="30" spans="1:12" ht="21.95" customHeight="1">
      <c r="A30" s="146" t="s">
        <v>10</v>
      </c>
      <c r="B30" s="93" t="s">
        <v>46</v>
      </c>
      <c r="C30" s="207">
        <v>6398</v>
      </c>
      <c r="D30" s="207">
        <v>6343.2370000000001</v>
      </c>
      <c r="E30" s="207">
        <f>D30-C30</f>
        <v>-54.76299999999992</v>
      </c>
      <c r="F30" s="211">
        <f t="shared" si="0"/>
        <v>0.99144060643951237</v>
      </c>
      <c r="G30" s="147"/>
      <c r="I30" s="125"/>
    </row>
    <row r="31" spans="1:12" ht="21.95" customHeight="1">
      <c r="A31" s="146" t="s">
        <v>18</v>
      </c>
      <c r="B31" s="93" t="s">
        <v>47</v>
      </c>
      <c r="C31" s="207">
        <f>1538+120</f>
        <v>1658</v>
      </c>
      <c r="D31" s="207">
        <v>1469.62</v>
      </c>
      <c r="E31" s="207">
        <f t="shared" ref="E31:E42" si="5">D31-C31</f>
        <v>-188.38000000000011</v>
      </c>
      <c r="F31" s="211">
        <f t="shared" si="0"/>
        <v>0.88638118214716521</v>
      </c>
      <c r="G31" s="147"/>
      <c r="I31" s="125"/>
    </row>
    <row r="32" spans="1:12" ht="21.95" customHeight="1">
      <c r="A32" s="146" t="s">
        <v>27</v>
      </c>
      <c r="B32" s="93" t="s">
        <v>451</v>
      </c>
      <c r="C32" s="207">
        <v>207530.5</v>
      </c>
      <c r="D32" s="207">
        <v>210436.337616</v>
      </c>
      <c r="E32" s="207">
        <f t="shared" si="5"/>
        <v>2905.8376160000043</v>
      </c>
      <c r="F32" s="211">
        <f t="shared" si="0"/>
        <v>1.0140019785814616</v>
      </c>
      <c r="G32" s="147"/>
      <c r="I32" s="125"/>
    </row>
    <row r="33" spans="1:12" ht="21.95" customHeight="1">
      <c r="A33" s="146" t="s">
        <v>28</v>
      </c>
      <c r="B33" s="93" t="s">
        <v>452</v>
      </c>
      <c r="C33" s="207">
        <v>150</v>
      </c>
      <c r="D33" s="207">
        <v>149.96250000000001</v>
      </c>
      <c r="E33" s="207">
        <f t="shared" si="5"/>
        <v>-3.7499999999994316E-2</v>
      </c>
      <c r="F33" s="211">
        <f t="shared" si="0"/>
        <v>0.99975000000000003</v>
      </c>
      <c r="G33" s="147"/>
      <c r="I33" s="125"/>
    </row>
    <row r="34" spans="1:12" ht="21.95" customHeight="1">
      <c r="A34" s="146" t="s">
        <v>29</v>
      </c>
      <c r="B34" s="93" t="s">
        <v>429</v>
      </c>
      <c r="C34" s="207">
        <v>507</v>
      </c>
      <c r="D34" s="207">
        <v>559.80044999999996</v>
      </c>
      <c r="E34" s="207">
        <f t="shared" si="5"/>
        <v>52.800449999999955</v>
      </c>
      <c r="F34" s="211">
        <f t="shared" si="0"/>
        <v>1.104142899408284</v>
      </c>
      <c r="G34" s="147"/>
      <c r="I34" s="125"/>
    </row>
    <row r="35" spans="1:12" ht="21.95" customHeight="1">
      <c r="A35" s="146" t="s">
        <v>30</v>
      </c>
      <c r="B35" s="93" t="s">
        <v>453</v>
      </c>
      <c r="C35" s="207">
        <v>2160</v>
      </c>
      <c r="D35" s="207">
        <v>3429.7886130000002</v>
      </c>
      <c r="E35" s="207">
        <f t="shared" si="5"/>
        <v>1269.7886130000002</v>
      </c>
      <c r="F35" s="211">
        <f t="shared" si="0"/>
        <v>1.5878650986111111</v>
      </c>
      <c r="G35" s="147"/>
      <c r="I35" s="125"/>
    </row>
    <row r="36" spans="1:12" ht="39.950000000000003" customHeight="1">
      <c r="A36" s="146" t="s">
        <v>31</v>
      </c>
      <c r="B36" s="93" t="s">
        <v>454</v>
      </c>
      <c r="C36" s="207">
        <v>1465</v>
      </c>
      <c r="D36" s="207">
        <v>1454.311179</v>
      </c>
      <c r="E36" s="207">
        <f t="shared" si="5"/>
        <v>-10.688820999999962</v>
      </c>
      <c r="F36" s="211">
        <f t="shared" si="0"/>
        <v>0.99270387645051195</v>
      </c>
      <c r="G36" s="147"/>
      <c r="I36" s="125"/>
    </row>
    <row r="37" spans="1:12" ht="21.95" customHeight="1">
      <c r="A37" s="146" t="s">
        <v>32</v>
      </c>
      <c r="B37" s="93" t="s">
        <v>455</v>
      </c>
      <c r="C37" s="207">
        <v>495</v>
      </c>
      <c r="D37" s="207">
        <v>543.95648000000006</v>
      </c>
      <c r="E37" s="207">
        <f t="shared" si="5"/>
        <v>48.956480000000056</v>
      </c>
      <c r="F37" s="211">
        <f t="shared" si="0"/>
        <v>1.09890197979798</v>
      </c>
      <c r="G37" s="147"/>
      <c r="I37" s="125"/>
    </row>
    <row r="38" spans="1:12" ht="21.95" customHeight="1">
      <c r="A38" s="146" t="s">
        <v>33</v>
      </c>
      <c r="B38" s="93" t="s">
        <v>456</v>
      </c>
      <c r="C38" s="207">
        <v>2787</v>
      </c>
      <c r="D38" s="207">
        <v>2787</v>
      </c>
      <c r="E38" s="207">
        <f t="shared" si="5"/>
        <v>0</v>
      </c>
      <c r="F38" s="211">
        <f t="shared" si="0"/>
        <v>1</v>
      </c>
      <c r="G38" s="147"/>
      <c r="I38" s="125"/>
    </row>
    <row r="39" spans="1:12" ht="21.95" customHeight="1">
      <c r="A39" s="146" t="s">
        <v>34</v>
      </c>
      <c r="B39" s="93" t="s">
        <v>48</v>
      </c>
      <c r="C39" s="207">
        <f>14598+500</f>
        <v>15098</v>
      </c>
      <c r="D39" s="207">
        <v>22548.932607999999</v>
      </c>
      <c r="E39" s="207">
        <f t="shared" si="5"/>
        <v>7450.9326079999992</v>
      </c>
      <c r="F39" s="211">
        <f t="shared" si="0"/>
        <v>1.4935046104119751</v>
      </c>
      <c r="I39" s="125"/>
    </row>
    <row r="40" spans="1:12" ht="39.950000000000003" customHeight="1">
      <c r="A40" s="146" t="s">
        <v>35</v>
      </c>
      <c r="B40" s="93" t="s">
        <v>457</v>
      </c>
      <c r="C40" s="207">
        <v>35143</v>
      </c>
      <c r="D40" s="207">
        <v>37479.086254000002</v>
      </c>
      <c r="E40" s="207">
        <f t="shared" si="5"/>
        <v>2336.0862540000016</v>
      </c>
      <c r="F40" s="211">
        <f t="shared" si="0"/>
        <v>1.066473728879151</v>
      </c>
      <c r="G40" s="147"/>
      <c r="I40" s="125"/>
    </row>
    <row r="41" spans="1:12" ht="21.95" customHeight="1">
      <c r="A41" s="146" t="s">
        <v>36</v>
      </c>
      <c r="B41" s="93" t="s">
        <v>458</v>
      </c>
      <c r="C41" s="207">
        <v>15198</v>
      </c>
      <c r="D41" s="207">
        <v>14597.711730000001</v>
      </c>
      <c r="E41" s="207">
        <f t="shared" si="5"/>
        <v>-600.2882699999991</v>
      </c>
      <c r="F41" s="211">
        <f t="shared" si="0"/>
        <v>0.96050215357283864</v>
      </c>
      <c r="G41" s="147"/>
      <c r="I41" s="125"/>
    </row>
    <row r="42" spans="1:12" ht="21.95" customHeight="1">
      <c r="A42" s="146" t="s">
        <v>37</v>
      </c>
      <c r="B42" s="93" t="s">
        <v>460</v>
      </c>
      <c r="C42" s="207">
        <f>3192+1035</f>
        <v>4227</v>
      </c>
      <c r="D42" s="207">
        <v>2348.7938909999998</v>
      </c>
      <c r="E42" s="207">
        <f t="shared" si="5"/>
        <v>-1878.2061090000002</v>
      </c>
      <c r="F42" s="211">
        <f t="shared" si="0"/>
        <v>0.55566451171043285</v>
      </c>
      <c r="G42" s="147"/>
      <c r="I42" s="125"/>
    </row>
    <row r="43" spans="1:12" s="142" customFormat="1" ht="39.950000000000003" customHeight="1">
      <c r="A43" s="136" t="s">
        <v>50</v>
      </c>
      <c r="B43" s="137" t="s">
        <v>152</v>
      </c>
      <c r="C43" s="205"/>
      <c r="D43" s="205"/>
      <c r="E43" s="205"/>
      <c r="F43" s="210"/>
      <c r="G43" s="138"/>
      <c r="H43" s="138"/>
      <c r="I43" s="138"/>
      <c r="J43" s="140"/>
      <c r="K43" s="140"/>
      <c r="L43" s="141"/>
    </row>
    <row r="44" spans="1:12" s="142" customFormat="1" ht="21.95" customHeight="1">
      <c r="A44" s="136" t="s">
        <v>51</v>
      </c>
      <c r="B44" s="137" t="s">
        <v>243</v>
      </c>
      <c r="C44" s="205"/>
      <c r="D44" s="205"/>
      <c r="E44" s="205"/>
      <c r="F44" s="210"/>
      <c r="G44" s="138"/>
      <c r="H44" s="138"/>
      <c r="I44" s="138"/>
      <c r="J44" s="140"/>
      <c r="K44" s="140"/>
      <c r="L44" s="141"/>
    </row>
    <row r="45" spans="1:12" s="142" customFormat="1" ht="21.95" customHeight="1">
      <c r="A45" s="136" t="s">
        <v>19</v>
      </c>
      <c r="B45" s="137" t="s">
        <v>20</v>
      </c>
      <c r="C45" s="205">
        <v>6583</v>
      </c>
      <c r="D45" s="205" t="s">
        <v>45</v>
      </c>
      <c r="E45" s="205">
        <f t="shared" ref="E45:E46" si="6">D45-C45</f>
        <v>-6583</v>
      </c>
      <c r="F45" s="210"/>
      <c r="G45" s="138"/>
      <c r="H45" s="138"/>
      <c r="I45" s="138"/>
      <c r="J45" s="140"/>
      <c r="K45" s="140"/>
      <c r="L45" s="141"/>
    </row>
    <row r="46" spans="1:12" s="142" customFormat="1" ht="39.950000000000003" customHeight="1">
      <c r="A46" s="136" t="s">
        <v>21</v>
      </c>
      <c r="B46" s="137" t="s">
        <v>22</v>
      </c>
      <c r="C46" s="205">
        <v>6028.5</v>
      </c>
      <c r="D46" s="205" t="s">
        <v>45</v>
      </c>
      <c r="E46" s="205">
        <f t="shared" si="6"/>
        <v>-6028.5</v>
      </c>
      <c r="F46" s="210"/>
      <c r="G46" s="138"/>
      <c r="H46" s="138"/>
      <c r="I46" s="138"/>
      <c r="J46" s="140"/>
      <c r="K46" s="140"/>
      <c r="L46" s="141"/>
    </row>
    <row r="47" spans="1:12" s="142" customFormat="1" ht="39.950000000000003" customHeight="1">
      <c r="A47" s="136" t="s">
        <v>41</v>
      </c>
      <c r="B47" s="137" t="s">
        <v>42</v>
      </c>
      <c r="C47" s="205">
        <v>0</v>
      </c>
      <c r="D47" s="205">
        <v>110247.698978</v>
      </c>
      <c r="E47" s="205">
        <f>D47</f>
        <v>110247.698978</v>
      </c>
      <c r="F47" s="210"/>
      <c r="G47" s="138"/>
      <c r="H47" s="138"/>
      <c r="I47" s="138"/>
      <c r="J47" s="140"/>
      <c r="K47" s="140"/>
      <c r="L47" s="141"/>
    </row>
    <row r="48" spans="1:12" s="142" customFormat="1" ht="39.950000000000003" customHeight="1">
      <c r="A48" s="148" t="s">
        <v>158</v>
      </c>
      <c r="B48" s="149" t="s">
        <v>249</v>
      </c>
      <c r="C48" s="208">
        <v>0</v>
      </c>
      <c r="D48" s="208">
        <v>27489.154213999998</v>
      </c>
      <c r="E48" s="208">
        <f>D48</f>
        <v>27489.154213999998</v>
      </c>
      <c r="F48" s="212"/>
      <c r="G48" s="138"/>
      <c r="H48" s="138"/>
      <c r="I48" s="138"/>
      <c r="J48" s="140"/>
      <c r="K48" s="140"/>
      <c r="L48" s="141"/>
    </row>
    <row r="49" spans="1:12" s="123" customFormat="1" ht="7.5" customHeight="1">
      <c r="A49" s="129" t="s">
        <v>0</v>
      </c>
      <c r="G49" s="125"/>
      <c r="H49" s="125"/>
      <c r="I49" s="125"/>
      <c r="J49" s="127"/>
      <c r="K49" s="127"/>
      <c r="L49" s="128"/>
    </row>
    <row r="50" spans="1:12" s="123" customFormat="1" ht="48" customHeight="1">
      <c r="A50" s="357" t="s">
        <v>405</v>
      </c>
      <c r="B50" s="357"/>
      <c r="C50" s="357"/>
      <c r="D50" s="357"/>
      <c r="E50" s="357"/>
      <c r="F50" s="357"/>
      <c r="G50" s="125"/>
      <c r="H50" s="125"/>
      <c r="I50" s="126"/>
      <c r="J50" s="127"/>
      <c r="K50" s="127"/>
      <c r="L50" s="128"/>
    </row>
    <row r="51" spans="1:12" s="123" customFormat="1">
      <c r="G51" s="125"/>
      <c r="H51" s="125"/>
      <c r="I51" s="126"/>
      <c r="J51" s="127"/>
      <c r="K51" s="127"/>
      <c r="L51" s="128"/>
    </row>
    <row r="52" spans="1:12" s="123" customFormat="1">
      <c r="G52" s="125"/>
      <c r="H52" s="150"/>
      <c r="I52" s="150"/>
      <c r="J52" s="151"/>
      <c r="K52" s="127"/>
      <c r="L52" s="128"/>
    </row>
    <row r="53" spans="1:12" s="123" customFormat="1">
      <c r="G53" s="125"/>
      <c r="H53" s="150"/>
      <c r="I53" s="125"/>
      <c r="J53" s="127"/>
      <c r="K53" s="127"/>
      <c r="L53" s="128"/>
    </row>
    <row r="54" spans="1:12" s="123" customFormat="1">
      <c r="G54" s="125"/>
      <c r="H54" s="152"/>
      <c r="I54" s="125"/>
      <c r="J54" s="127"/>
      <c r="K54" s="127"/>
      <c r="L54" s="128"/>
    </row>
    <row r="55" spans="1:12" s="123" customFormat="1">
      <c r="G55" s="125"/>
      <c r="H55" s="150"/>
      <c r="I55" s="125"/>
      <c r="J55" s="127"/>
      <c r="K55" s="127"/>
      <c r="L55" s="128"/>
    </row>
    <row r="56" spans="1:12" s="123" customFormat="1">
      <c r="G56" s="125"/>
      <c r="H56" s="150"/>
      <c r="I56" s="125"/>
      <c r="J56" s="127"/>
      <c r="K56" s="127"/>
      <c r="L56" s="128"/>
    </row>
    <row r="57" spans="1:12" s="123" customFormat="1">
      <c r="G57" s="125"/>
      <c r="H57" s="150"/>
      <c r="I57" s="125"/>
      <c r="J57" s="127"/>
      <c r="K57" s="127"/>
      <c r="L57" s="128"/>
    </row>
    <row r="58" spans="1:12" s="123" customFormat="1">
      <c r="G58" s="125"/>
      <c r="H58" s="125"/>
      <c r="I58" s="125"/>
      <c r="J58" s="127"/>
      <c r="K58" s="127"/>
      <c r="L58" s="128"/>
    </row>
    <row r="59" spans="1:12" s="123" customFormat="1">
      <c r="G59" s="125"/>
      <c r="H59" s="125"/>
      <c r="I59" s="125"/>
      <c r="J59" s="127"/>
      <c r="K59" s="127"/>
      <c r="L59" s="128"/>
    </row>
    <row r="60" spans="1:12" s="123" customFormat="1">
      <c r="G60" s="125"/>
      <c r="H60" s="125"/>
      <c r="I60" s="125"/>
      <c r="J60" s="127"/>
      <c r="K60" s="127"/>
      <c r="L60" s="128"/>
    </row>
    <row r="61" spans="1:12" s="123" customFormat="1">
      <c r="G61" s="125"/>
      <c r="H61" s="125"/>
      <c r="I61" s="125"/>
      <c r="J61" s="127"/>
      <c r="K61" s="127"/>
      <c r="L61" s="128"/>
    </row>
    <row r="62" spans="1:12" s="123" customFormat="1">
      <c r="G62" s="125"/>
      <c r="H62" s="125"/>
      <c r="I62" s="125"/>
      <c r="J62" s="127"/>
      <c r="K62" s="127"/>
      <c r="L62" s="128"/>
    </row>
    <row r="63" spans="1:12" s="123" customFormat="1">
      <c r="G63" s="125"/>
      <c r="H63" s="125"/>
      <c r="I63" s="125"/>
      <c r="J63" s="127"/>
      <c r="K63" s="127"/>
      <c r="L63" s="128"/>
    </row>
    <row r="64" spans="1:12" s="123" customFormat="1">
      <c r="G64" s="125"/>
      <c r="H64" s="125"/>
      <c r="I64" s="125"/>
      <c r="J64" s="127"/>
      <c r="K64" s="127"/>
      <c r="L64" s="128"/>
    </row>
    <row r="65" spans="7:12" s="123" customFormat="1">
      <c r="G65" s="125"/>
      <c r="H65" s="125"/>
      <c r="I65" s="125"/>
      <c r="J65" s="127"/>
      <c r="K65" s="127"/>
      <c r="L65" s="128"/>
    </row>
    <row r="66" spans="7:12" s="123" customFormat="1">
      <c r="G66" s="125"/>
      <c r="H66" s="125"/>
      <c r="I66" s="126"/>
      <c r="J66" s="127"/>
      <c r="K66" s="127"/>
      <c r="L66" s="128"/>
    </row>
    <row r="67" spans="7:12" s="123" customFormat="1">
      <c r="G67" s="125"/>
      <c r="H67" s="125"/>
      <c r="I67" s="126"/>
      <c r="J67" s="127"/>
      <c r="K67" s="127"/>
      <c r="L67" s="128"/>
    </row>
    <row r="68" spans="7:12" s="123" customFormat="1">
      <c r="G68" s="125"/>
      <c r="H68" s="125"/>
      <c r="I68" s="126"/>
      <c r="J68" s="127"/>
      <c r="K68" s="127"/>
      <c r="L68" s="128"/>
    </row>
    <row r="69" spans="7:12" s="123" customFormat="1">
      <c r="G69" s="125"/>
      <c r="H69" s="125"/>
      <c r="I69" s="126"/>
      <c r="J69" s="127"/>
      <c r="K69" s="127"/>
      <c r="L69" s="128"/>
    </row>
    <row r="70" spans="7:12" s="123" customFormat="1">
      <c r="G70" s="125"/>
      <c r="H70" s="125"/>
      <c r="I70" s="126"/>
      <c r="J70" s="127"/>
      <c r="K70" s="127"/>
      <c r="L70" s="128"/>
    </row>
    <row r="71" spans="7:12" s="123" customFormat="1">
      <c r="G71" s="125"/>
      <c r="H71" s="125"/>
      <c r="I71" s="126"/>
      <c r="J71" s="127"/>
      <c r="K71" s="127"/>
      <c r="L71" s="128"/>
    </row>
    <row r="72" spans="7:12" s="123" customFormat="1">
      <c r="G72" s="125"/>
      <c r="H72" s="125"/>
      <c r="I72" s="126"/>
      <c r="J72" s="127"/>
      <c r="K72" s="127"/>
      <c r="L72" s="128"/>
    </row>
    <row r="73" spans="7:12" s="123" customFormat="1">
      <c r="G73" s="125"/>
      <c r="H73" s="125"/>
      <c r="I73" s="126"/>
      <c r="J73" s="127"/>
      <c r="K73" s="127"/>
      <c r="L73" s="128"/>
    </row>
    <row r="74" spans="7:12" s="123" customFormat="1">
      <c r="G74" s="125"/>
      <c r="H74" s="125"/>
      <c r="I74" s="126"/>
      <c r="J74" s="127"/>
      <c r="K74" s="127"/>
      <c r="L74" s="128"/>
    </row>
    <row r="75" spans="7:12" s="123" customFormat="1">
      <c r="G75" s="125"/>
      <c r="H75" s="125"/>
      <c r="I75" s="126"/>
      <c r="J75" s="127"/>
      <c r="K75" s="127"/>
      <c r="L75" s="128"/>
    </row>
    <row r="76" spans="7:12" s="123" customFormat="1">
      <c r="G76" s="125"/>
      <c r="H76" s="125"/>
      <c r="I76" s="126"/>
      <c r="J76" s="127"/>
      <c r="K76" s="127"/>
      <c r="L76" s="128"/>
    </row>
    <row r="77" spans="7:12" s="123" customFormat="1">
      <c r="G77" s="125"/>
      <c r="H77" s="125"/>
      <c r="I77" s="126"/>
      <c r="J77" s="127"/>
      <c r="K77" s="127"/>
      <c r="L77" s="128"/>
    </row>
    <row r="78" spans="7:12" s="123" customFormat="1">
      <c r="G78" s="125"/>
      <c r="H78" s="125"/>
      <c r="I78" s="126"/>
      <c r="J78" s="127"/>
      <c r="K78" s="127"/>
      <c r="L78" s="128"/>
    </row>
    <row r="79" spans="7:12" s="123" customFormat="1">
      <c r="G79" s="125"/>
      <c r="H79" s="125"/>
      <c r="I79" s="126"/>
      <c r="J79" s="127"/>
      <c r="K79" s="127"/>
      <c r="L79" s="128"/>
    </row>
    <row r="80" spans="7:12" s="123" customFormat="1">
      <c r="G80" s="125"/>
      <c r="H80" s="125"/>
      <c r="I80" s="126"/>
      <c r="J80" s="127"/>
      <c r="K80" s="127"/>
      <c r="L80" s="128"/>
    </row>
    <row r="81" spans="7:12" s="123" customFormat="1">
      <c r="G81" s="125"/>
      <c r="H81" s="125"/>
      <c r="I81" s="126"/>
      <c r="J81" s="127"/>
      <c r="K81" s="127"/>
      <c r="L81" s="128"/>
    </row>
    <row r="82" spans="7:12" s="123" customFormat="1">
      <c r="G82" s="125"/>
      <c r="H82" s="125"/>
      <c r="I82" s="126"/>
      <c r="J82" s="127"/>
      <c r="K82" s="127"/>
      <c r="L82" s="128"/>
    </row>
    <row r="83" spans="7:12" s="123" customFormat="1">
      <c r="G83" s="125"/>
      <c r="H83" s="125"/>
      <c r="I83" s="126"/>
      <c r="J83" s="127"/>
      <c r="K83" s="127"/>
      <c r="L83" s="128"/>
    </row>
    <row r="84" spans="7:12" s="123" customFormat="1">
      <c r="G84" s="125"/>
      <c r="H84" s="125"/>
      <c r="I84" s="126"/>
      <c r="J84" s="127"/>
      <c r="K84" s="127"/>
      <c r="L84" s="128"/>
    </row>
    <row r="85" spans="7:12" s="123" customFormat="1">
      <c r="G85" s="125"/>
      <c r="H85" s="125"/>
      <c r="I85" s="126"/>
      <c r="J85" s="127"/>
      <c r="K85" s="127"/>
      <c r="L85" s="128"/>
    </row>
    <row r="86" spans="7:12" s="123" customFormat="1">
      <c r="G86" s="125"/>
      <c r="H86" s="125"/>
      <c r="I86" s="126"/>
      <c r="J86" s="127"/>
      <c r="K86" s="127"/>
      <c r="L86" s="128"/>
    </row>
    <row r="87" spans="7:12" s="123" customFormat="1">
      <c r="G87" s="125"/>
      <c r="H87" s="125"/>
      <c r="I87" s="126"/>
      <c r="J87" s="127"/>
      <c r="K87" s="127"/>
      <c r="L87" s="128"/>
    </row>
    <row r="88" spans="7:12" s="123" customFormat="1">
      <c r="G88" s="125"/>
      <c r="H88" s="125"/>
      <c r="I88" s="126"/>
      <c r="J88" s="127"/>
      <c r="K88" s="127"/>
      <c r="L88" s="128"/>
    </row>
    <row r="89" spans="7:12" s="123" customFormat="1">
      <c r="G89" s="125"/>
      <c r="H89" s="125"/>
      <c r="I89" s="126"/>
      <c r="J89" s="127"/>
      <c r="K89" s="127"/>
      <c r="L89" s="128"/>
    </row>
    <row r="90" spans="7:12" s="123" customFormat="1">
      <c r="G90" s="125"/>
      <c r="H90" s="125"/>
      <c r="I90" s="126"/>
      <c r="J90" s="127"/>
      <c r="K90" s="127"/>
      <c r="L90" s="128"/>
    </row>
    <row r="91" spans="7:12" s="123" customFormat="1">
      <c r="G91" s="125"/>
      <c r="H91" s="125"/>
      <c r="I91" s="126"/>
      <c r="J91" s="127"/>
      <c r="K91" s="127"/>
      <c r="L91" s="128"/>
    </row>
    <row r="92" spans="7:12" s="123" customFormat="1">
      <c r="G92" s="125"/>
      <c r="H92" s="125"/>
      <c r="I92" s="126"/>
      <c r="J92" s="127"/>
      <c r="K92" s="127"/>
      <c r="L92" s="128"/>
    </row>
    <row r="93" spans="7:12" s="123" customFormat="1">
      <c r="G93" s="125"/>
      <c r="H93" s="125"/>
      <c r="I93" s="126"/>
      <c r="J93" s="127"/>
      <c r="K93" s="127"/>
      <c r="L93" s="128"/>
    </row>
    <row r="94" spans="7:12" s="123" customFormat="1">
      <c r="G94" s="125"/>
      <c r="H94" s="125"/>
      <c r="I94" s="126"/>
      <c r="J94" s="127"/>
      <c r="K94" s="127"/>
      <c r="L94" s="128"/>
    </row>
    <row r="95" spans="7:12" s="123" customFormat="1">
      <c r="G95" s="125"/>
      <c r="H95" s="125"/>
      <c r="I95" s="126"/>
      <c r="J95" s="127"/>
      <c r="K95" s="127"/>
      <c r="L95" s="128"/>
    </row>
    <row r="96" spans="7:12" s="123" customFormat="1">
      <c r="G96" s="125"/>
      <c r="H96" s="125"/>
      <c r="I96" s="126"/>
      <c r="J96" s="127"/>
      <c r="K96" s="127"/>
      <c r="L96" s="128"/>
    </row>
    <row r="97" spans="7:12" s="123" customFormat="1">
      <c r="G97" s="125"/>
      <c r="H97" s="125"/>
      <c r="I97" s="126"/>
      <c r="J97" s="127"/>
      <c r="K97" s="127"/>
      <c r="L97" s="128"/>
    </row>
    <row r="98" spans="7:12" s="123" customFormat="1">
      <c r="G98" s="125"/>
      <c r="H98" s="125"/>
      <c r="I98" s="126"/>
      <c r="J98" s="127"/>
      <c r="K98" s="127"/>
      <c r="L98" s="128"/>
    </row>
    <row r="99" spans="7:12" s="123" customFormat="1">
      <c r="G99" s="125"/>
      <c r="H99" s="125"/>
      <c r="I99" s="126"/>
      <c r="J99" s="127"/>
      <c r="K99" s="127"/>
      <c r="L99" s="128"/>
    </row>
    <row r="100" spans="7:12" s="123" customFormat="1">
      <c r="G100" s="125"/>
      <c r="H100" s="125"/>
      <c r="I100" s="126"/>
      <c r="J100" s="127"/>
      <c r="K100" s="127"/>
      <c r="L100" s="128"/>
    </row>
    <row r="101" spans="7:12" s="123" customFormat="1">
      <c r="G101" s="125"/>
      <c r="H101" s="125"/>
      <c r="I101" s="126"/>
      <c r="J101" s="127"/>
      <c r="K101" s="127"/>
      <c r="L101" s="128"/>
    </row>
    <row r="102" spans="7:12" s="123" customFormat="1">
      <c r="G102" s="125"/>
      <c r="H102" s="125"/>
      <c r="I102" s="126"/>
      <c r="J102" s="127"/>
      <c r="K102" s="127"/>
      <c r="L102" s="128"/>
    </row>
    <row r="103" spans="7:12" s="123" customFormat="1">
      <c r="G103" s="125"/>
      <c r="H103" s="125"/>
      <c r="I103" s="126"/>
      <c r="J103" s="127"/>
      <c r="K103" s="127"/>
      <c r="L103" s="128"/>
    </row>
    <row r="104" spans="7:12" s="123" customFormat="1">
      <c r="G104" s="125"/>
      <c r="H104" s="125"/>
      <c r="I104" s="126"/>
      <c r="J104" s="127"/>
      <c r="K104" s="127"/>
      <c r="L104" s="128"/>
    </row>
    <row r="105" spans="7:12" s="123" customFormat="1">
      <c r="G105" s="125"/>
      <c r="H105" s="125"/>
      <c r="I105" s="126"/>
      <c r="J105" s="127"/>
      <c r="K105" s="127"/>
      <c r="L105" s="128"/>
    </row>
    <row r="106" spans="7:12" s="123" customFormat="1">
      <c r="G106" s="125"/>
      <c r="H106" s="125"/>
      <c r="I106" s="126"/>
      <c r="J106" s="127"/>
      <c r="K106" s="127"/>
      <c r="L106" s="128"/>
    </row>
    <row r="107" spans="7:12" s="123" customFormat="1">
      <c r="G107" s="125"/>
      <c r="H107" s="125"/>
      <c r="I107" s="126"/>
      <c r="J107" s="127"/>
      <c r="K107" s="127"/>
      <c r="L107" s="128"/>
    </row>
    <row r="108" spans="7:12" s="123" customFormat="1">
      <c r="G108" s="125"/>
      <c r="H108" s="125"/>
      <c r="I108" s="126"/>
      <c r="J108" s="127"/>
      <c r="K108" s="127"/>
      <c r="L108" s="128"/>
    </row>
    <row r="109" spans="7:12" s="123" customFormat="1">
      <c r="G109" s="125"/>
      <c r="H109" s="125"/>
      <c r="I109" s="126"/>
      <c r="J109" s="127"/>
      <c r="K109" s="127"/>
      <c r="L109" s="128"/>
    </row>
    <row r="110" spans="7:12" s="123" customFormat="1">
      <c r="G110" s="125"/>
      <c r="H110" s="125"/>
      <c r="I110" s="126"/>
      <c r="J110" s="127"/>
      <c r="K110" s="127"/>
      <c r="L110" s="128"/>
    </row>
    <row r="111" spans="7:12" s="123" customFormat="1">
      <c r="G111" s="125"/>
      <c r="H111" s="125"/>
      <c r="I111" s="126"/>
      <c r="J111" s="127"/>
      <c r="K111" s="127"/>
      <c r="L111" s="128"/>
    </row>
    <row r="112" spans="7:12" s="123" customFormat="1">
      <c r="G112" s="125"/>
      <c r="H112" s="125"/>
      <c r="I112" s="126"/>
      <c r="J112" s="127"/>
      <c r="K112" s="127"/>
      <c r="L112" s="128"/>
    </row>
    <row r="113" spans="7:12" s="123" customFormat="1">
      <c r="G113" s="125"/>
      <c r="H113" s="125"/>
      <c r="I113" s="126"/>
      <c r="J113" s="127"/>
      <c r="K113" s="127"/>
      <c r="L113" s="128"/>
    </row>
    <row r="114" spans="7:12" s="123" customFormat="1">
      <c r="G114" s="125"/>
      <c r="H114" s="125"/>
      <c r="I114" s="126"/>
      <c r="J114" s="127"/>
      <c r="K114" s="127"/>
      <c r="L114" s="128"/>
    </row>
    <row r="115" spans="7:12" s="123" customFormat="1">
      <c r="G115" s="125"/>
      <c r="H115" s="125"/>
      <c r="I115" s="126"/>
      <c r="J115" s="127"/>
      <c r="K115" s="127"/>
      <c r="L115" s="128"/>
    </row>
    <row r="116" spans="7:12" s="123" customFormat="1">
      <c r="G116" s="125"/>
      <c r="H116" s="125"/>
      <c r="I116" s="126"/>
      <c r="J116" s="127"/>
      <c r="K116" s="127"/>
      <c r="L116" s="128"/>
    </row>
    <row r="117" spans="7:12" s="123" customFormat="1">
      <c r="G117" s="125"/>
      <c r="H117" s="125"/>
      <c r="I117" s="126"/>
      <c r="J117" s="127"/>
      <c r="K117" s="127"/>
      <c r="L117" s="128"/>
    </row>
    <row r="118" spans="7:12" s="123" customFormat="1">
      <c r="G118" s="125"/>
      <c r="H118" s="125"/>
      <c r="I118" s="126"/>
      <c r="J118" s="127"/>
      <c r="K118" s="127"/>
      <c r="L118" s="128"/>
    </row>
    <row r="119" spans="7:12" s="123" customFormat="1">
      <c r="G119" s="125"/>
      <c r="H119" s="125"/>
      <c r="I119" s="126"/>
      <c r="J119" s="127"/>
      <c r="K119" s="127"/>
      <c r="L119" s="128"/>
    </row>
    <row r="120" spans="7:12" s="123" customFormat="1">
      <c r="G120" s="125"/>
      <c r="H120" s="125"/>
      <c r="I120" s="126"/>
      <c r="J120" s="127"/>
      <c r="K120" s="127"/>
      <c r="L120" s="128"/>
    </row>
    <row r="121" spans="7:12" s="123" customFormat="1">
      <c r="G121" s="125"/>
      <c r="H121" s="125"/>
      <c r="I121" s="126"/>
      <c r="J121" s="127"/>
      <c r="K121" s="127"/>
      <c r="L121" s="128"/>
    </row>
    <row r="122" spans="7:12" s="123" customFormat="1">
      <c r="G122" s="125"/>
      <c r="H122" s="125"/>
      <c r="I122" s="126"/>
      <c r="J122" s="127"/>
      <c r="K122" s="127"/>
      <c r="L122" s="128"/>
    </row>
    <row r="123" spans="7:12" s="123" customFormat="1">
      <c r="G123" s="125"/>
      <c r="H123" s="125"/>
      <c r="I123" s="126"/>
      <c r="J123" s="127"/>
      <c r="K123" s="127"/>
      <c r="L123" s="128"/>
    </row>
    <row r="124" spans="7:12" s="123" customFormat="1">
      <c r="G124" s="125"/>
      <c r="H124" s="125"/>
      <c r="I124" s="126"/>
      <c r="J124" s="127"/>
      <c r="K124" s="127"/>
      <c r="L124" s="128"/>
    </row>
    <row r="125" spans="7:12" s="123" customFormat="1">
      <c r="G125" s="125"/>
      <c r="H125" s="125"/>
      <c r="I125" s="126"/>
      <c r="J125" s="127"/>
      <c r="K125" s="127"/>
      <c r="L125" s="128"/>
    </row>
    <row r="126" spans="7:12" s="123" customFormat="1">
      <c r="G126" s="125"/>
      <c r="H126" s="125"/>
      <c r="I126" s="126"/>
      <c r="J126" s="127"/>
      <c r="K126" s="127"/>
      <c r="L126" s="128"/>
    </row>
    <row r="127" spans="7:12" s="123" customFormat="1">
      <c r="G127" s="125"/>
      <c r="H127" s="125"/>
      <c r="I127" s="126"/>
      <c r="J127" s="127"/>
      <c r="K127" s="127"/>
      <c r="L127" s="128"/>
    </row>
    <row r="128" spans="7:12" s="123" customFormat="1">
      <c r="G128" s="125"/>
      <c r="H128" s="125"/>
      <c r="I128" s="126"/>
      <c r="J128" s="127"/>
      <c r="K128" s="127"/>
      <c r="L128" s="128"/>
    </row>
    <row r="129" spans="7:12" s="123" customFormat="1">
      <c r="G129" s="125"/>
      <c r="H129" s="125"/>
      <c r="I129" s="126"/>
      <c r="J129" s="127"/>
      <c r="K129" s="127"/>
      <c r="L129" s="128"/>
    </row>
    <row r="130" spans="7:12" s="123" customFormat="1">
      <c r="G130" s="125"/>
      <c r="H130" s="125"/>
      <c r="I130" s="126"/>
      <c r="J130" s="127"/>
      <c r="K130" s="127"/>
      <c r="L130" s="128"/>
    </row>
    <row r="131" spans="7:12" s="123" customFormat="1">
      <c r="G131" s="125"/>
      <c r="H131" s="125"/>
      <c r="I131" s="126"/>
      <c r="J131" s="127"/>
      <c r="K131" s="127"/>
      <c r="L131" s="128"/>
    </row>
    <row r="132" spans="7:12" s="123" customFormat="1">
      <c r="G132" s="125"/>
      <c r="H132" s="125"/>
      <c r="I132" s="126"/>
      <c r="J132" s="127"/>
      <c r="K132" s="127"/>
      <c r="L132" s="128"/>
    </row>
    <row r="133" spans="7:12" s="123" customFormat="1">
      <c r="G133" s="125"/>
      <c r="H133" s="125"/>
      <c r="I133" s="126"/>
      <c r="J133" s="127"/>
      <c r="K133" s="127"/>
      <c r="L133" s="128"/>
    </row>
    <row r="134" spans="7:12" s="123" customFormat="1">
      <c r="G134" s="125"/>
      <c r="H134" s="125"/>
      <c r="I134" s="126"/>
      <c r="J134" s="127"/>
      <c r="K134" s="127"/>
      <c r="L134" s="128"/>
    </row>
    <row r="135" spans="7:12" s="123" customFormat="1">
      <c r="G135" s="125"/>
      <c r="H135" s="125"/>
      <c r="I135" s="126"/>
      <c r="J135" s="127"/>
      <c r="K135" s="127"/>
      <c r="L135" s="128"/>
    </row>
    <row r="136" spans="7:12" s="123" customFormat="1">
      <c r="G136" s="125"/>
      <c r="H136" s="125"/>
      <c r="I136" s="126"/>
      <c r="J136" s="127"/>
      <c r="K136" s="127"/>
      <c r="L136" s="128"/>
    </row>
    <row r="137" spans="7:12" s="123" customFormat="1">
      <c r="G137" s="125"/>
      <c r="H137" s="125"/>
      <c r="I137" s="126"/>
      <c r="J137" s="127"/>
      <c r="K137" s="127"/>
      <c r="L137" s="128"/>
    </row>
    <row r="138" spans="7:12" s="123" customFormat="1">
      <c r="G138" s="125"/>
      <c r="H138" s="125"/>
      <c r="I138" s="126"/>
      <c r="J138" s="127"/>
      <c r="K138" s="127"/>
      <c r="L138" s="128"/>
    </row>
    <row r="139" spans="7:12" s="123" customFormat="1">
      <c r="G139" s="125"/>
      <c r="H139" s="125"/>
      <c r="I139" s="126"/>
      <c r="J139" s="127"/>
      <c r="K139" s="127"/>
      <c r="L139" s="128"/>
    </row>
    <row r="140" spans="7:12" s="123" customFormat="1">
      <c r="G140" s="125"/>
      <c r="H140" s="125"/>
      <c r="I140" s="126"/>
      <c r="J140" s="127"/>
      <c r="K140" s="127"/>
      <c r="L140" s="128"/>
    </row>
    <row r="141" spans="7:12" s="123" customFormat="1">
      <c r="G141" s="125"/>
      <c r="H141" s="125"/>
      <c r="I141" s="126"/>
      <c r="J141" s="127"/>
      <c r="K141" s="127"/>
      <c r="L141" s="128"/>
    </row>
    <row r="142" spans="7:12" s="123" customFormat="1">
      <c r="G142" s="125"/>
      <c r="H142" s="125"/>
      <c r="I142" s="126"/>
      <c r="J142" s="127"/>
      <c r="K142" s="127"/>
      <c r="L142" s="128"/>
    </row>
    <row r="143" spans="7:12" s="123" customFormat="1">
      <c r="G143" s="125"/>
      <c r="H143" s="125"/>
      <c r="I143" s="126"/>
      <c r="J143" s="127"/>
      <c r="K143" s="127"/>
      <c r="L143" s="128"/>
    </row>
    <row r="144" spans="7:12" s="123" customFormat="1">
      <c r="G144" s="125"/>
      <c r="H144" s="125"/>
      <c r="I144" s="126"/>
      <c r="J144" s="127"/>
      <c r="K144" s="127"/>
      <c r="L144" s="128"/>
    </row>
    <row r="145" spans="7:12" s="123" customFormat="1">
      <c r="G145" s="125"/>
      <c r="H145" s="125"/>
      <c r="I145" s="126"/>
      <c r="J145" s="127"/>
      <c r="K145" s="127"/>
      <c r="L145" s="128"/>
    </row>
    <row r="146" spans="7:12" s="123" customFormat="1">
      <c r="G146" s="125"/>
      <c r="H146" s="125"/>
      <c r="I146" s="126"/>
      <c r="J146" s="127"/>
      <c r="K146" s="127"/>
      <c r="L146" s="128"/>
    </row>
    <row r="147" spans="7:12" s="123" customFormat="1">
      <c r="G147" s="125"/>
      <c r="H147" s="125"/>
      <c r="I147" s="126"/>
      <c r="J147" s="127"/>
      <c r="K147" s="127"/>
      <c r="L147" s="128"/>
    </row>
    <row r="148" spans="7:12" s="123" customFormat="1">
      <c r="G148" s="125"/>
      <c r="H148" s="125"/>
      <c r="I148" s="126"/>
      <c r="J148" s="127"/>
      <c r="K148" s="127"/>
      <c r="L148" s="128"/>
    </row>
    <row r="149" spans="7:12" s="123" customFormat="1">
      <c r="G149" s="125"/>
      <c r="H149" s="125"/>
      <c r="I149" s="126"/>
      <c r="J149" s="127"/>
      <c r="K149" s="127"/>
      <c r="L149" s="128"/>
    </row>
    <row r="150" spans="7:12" s="123" customFormat="1">
      <c r="G150" s="125"/>
      <c r="H150" s="125"/>
      <c r="I150" s="126"/>
      <c r="J150" s="127"/>
      <c r="K150" s="127"/>
      <c r="L150" s="128"/>
    </row>
    <row r="151" spans="7:12" s="123" customFormat="1">
      <c r="G151" s="125"/>
      <c r="H151" s="125"/>
      <c r="I151" s="126"/>
      <c r="J151" s="127"/>
      <c r="K151" s="127"/>
      <c r="L151" s="128"/>
    </row>
    <row r="152" spans="7:12" s="123" customFormat="1">
      <c r="G152" s="125"/>
      <c r="H152" s="125"/>
      <c r="I152" s="126"/>
      <c r="J152" s="127"/>
      <c r="K152" s="127"/>
      <c r="L152" s="128"/>
    </row>
    <row r="153" spans="7:12" s="123" customFormat="1">
      <c r="G153" s="125"/>
      <c r="H153" s="125"/>
      <c r="I153" s="126"/>
      <c r="J153" s="127"/>
      <c r="K153" s="127"/>
      <c r="L153" s="128"/>
    </row>
    <row r="154" spans="7:12" s="123" customFormat="1">
      <c r="G154" s="125"/>
      <c r="H154" s="125"/>
      <c r="I154" s="126"/>
      <c r="J154" s="127"/>
      <c r="K154" s="127"/>
      <c r="L154" s="128"/>
    </row>
    <row r="155" spans="7:12" s="123" customFormat="1">
      <c r="G155" s="125"/>
      <c r="H155" s="125"/>
      <c r="I155" s="126"/>
      <c r="J155" s="127"/>
      <c r="K155" s="127"/>
      <c r="L155" s="128"/>
    </row>
    <row r="156" spans="7:12" s="123" customFormat="1">
      <c r="G156" s="125"/>
      <c r="H156" s="125"/>
      <c r="I156" s="126"/>
      <c r="J156" s="127"/>
      <c r="K156" s="127"/>
      <c r="L156" s="128"/>
    </row>
    <row r="157" spans="7:12" s="123" customFormat="1">
      <c r="G157" s="125"/>
      <c r="H157" s="125"/>
      <c r="I157" s="126"/>
      <c r="J157" s="127"/>
      <c r="K157" s="127"/>
      <c r="L157" s="128"/>
    </row>
    <row r="158" spans="7:12" s="123" customFormat="1">
      <c r="G158" s="125"/>
      <c r="H158" s="125"/>
      <c r="I158" s="126"/>
      <c r="J158" s="127"/>
      <c r="K158" s="127"/>
      <c r="L158" s="128"/>
    </row>
    <row r="159" spans="7:12" s="123" customFormat="1">
      <c r="G159" s="125"/>
      <c r="H159" s="125"/>
      <c r="I159" s="126"/>
      <c r="J159" s="127"/>
      <c r="K159" s="127"/>
      <c r="L159" s="128"/>
    </row>
    <row r="160" spans="7:12" s="123" customFormat="1">
      <c r="G160" s="125"/>
      <c r="H160" s="125"/>
      <c r="I160" s="126"/>
      <c r="J160" s="127"/>
      <c r="K160" s="127"/>
      <c r="L160" s="128"/>
    </row>
    <row r="161" spans="7:12" s="123" customFormat="1">
      <c r="G161" s="125"/>
      <c r="H161" s="125"/>
      <c r="I161" s="126"/>
      <c r="J161" s="127"/>
      <c r="K161" s="127"/>
      <c r="L161" s="128"/>
    </row>
    <row r="162" spans="7:12" s="123" customFormat="1">
      <c r="G162" s="125"/>
      <c r="H162" s="125"/>
      <c r="I162" s="126"/>
      <c r="J162" s="127"/>
      <c r="K162" s="127"/>
      <c r="L162" s="128"/>
    </row>
    <row r="163" spans="7:12" s="123" customFormat="1">
      <c r="G163" s="125"/>
      <c r="H163" s="125"/>
      <c r="I163" s="126"/>
      <c r="J163" s="127"/>
      <c r="K163" s="127"/>
      <c r="L163" s="128"/>
    </row>
    <row r="164" spans="7:12" s="123" customFormat="1">
      <c r="G164" s="125"/>
      <c r="H164" s="125"/>
      <c r="I164" s="126"/>
      <c r="J164" s="127"/>
      <c r="K164" s="127"/>
      <c r="L164" s="128"/>
    </row>
    <row r="165" spans="7:12" s="123" customFormat="1">
      <c r="G165" s="125"/>
      <c r="H165" s="125"/>
      <c r="I165" s="126"/>
      <c r="J165" s="127"/>
      <c r="K165" s="127"/>
      <c r="L165" s="128"/>
    </row>
    <row r="166" spans="7:12" s="123" customFormat="1">
      <c r="G166" s="125"/>
      <c r="H166" s="125"/>
      <c r="I166" s="126"/>
      <c r="J166" s="127"/>
      <c r="K166" s="127"/>
      <c r="L166" s="128"/>
    </row>
    <row r="167" spans="7:12" s="123" customFormat="1">
      <c r="G167" s="125"/>
      <c r="H167" s="125"/>
      <c r="I167" s="126"/>
      <c r="J167" s="127"/>
      <c r="K167" s="127"/>
      <c r="L167" s="128"/>
    </row>
    <row r="168" spans="7:12" s="123" customFormat="1">
      <c r="G168" s="125"/>
      <c r="H168" s="125"/>
      <c r="I168" s="126"/>
      <c r="J168" s="127"/>
      <c r="K168" s="127"/>
      <c r="L168" s="128"/>
    </row>
    <row r="169" spans="7:12" s="123" customFormat="1">
      <c r="G169" s="125"/>
      <c r="H169" s="125"/>
      <c r="I169" s="126"/>
      <c r="J169" s="127"/>
      <c r="K169" s="127"/>
      <c r="L169" s="128"/>
    </row>
    <row r="170" spans="7:12" s="123" customFormat="1">
      <c r="G170" s="125"/>
      <c r="H170" s="125"/>
      <c r="I170" s="126"/>
      <c r="J170" s="127"/>
      <c r="K170" s="127"/>
      <c r="L170" s="128"/>
    </row>
    <row r="171" spans="7:12" s="123" customFormat="1">
      <c r="G171" s="125"/>
      <c r="H171" s="125"/>
      <c r="I171" s="126"/>
      <c r="J171" s="127"/>
      <c r="K171" s="127"/>
      <c r="L171" s="128"/>
    </row>
    <row r="172" spans="7:12" s="123" customFormat="1">
      <c r="G172" s="125"/>
      <c r="H172" s="125"/>
      <c r="I172" s="126"/>
      <c r="J172" s="127"/>
      <c r="K172" s="127"/>
      <c r="L172" s="128"/>
    </row>
    <row r="173" spans="7:12" s="123" customFormat="1">
      <c r="G173" s="125"/>
      <c r="H173" s="125"/>
      <c r="I173" s="126"/>
      <c r="J173" s="127"/>
      <c r="K173" s="127"/>
      <c r="L173" s="128"/>
    </row>
    <row r="174" spans="7:12" s="123" customFormat="1">
      <c r="G174" s="125"/>
      <c r="H174" s="125"/>
      <c r="I174" s="126"/>
      <c r="J174" s="127"/>
      <c r="K174" s="127"/>
      <c r="L174" s="128"/>
    </row>
    <row r="175" spans="7:12" s="123" customFormat="1">
      <c r="G175" s="125"/>
      <c r="H175" s="125"/>
      <c r="I175" s="126"/>
      <c r="J175" s="127"/>
      <c r="K175" s="127"/>
      <c r="L175" s="128"/>
    </row>
    <row r="176" spans="7:12" s="123" customFormat="1">
      <c r="G176" s="125"/>
      <c r="H176" s="125"/>
      <c r="I176" s="126"/>
      <c r="J176" s="127"/>
      <c r="K176" s="127"/>
      <c r="L176" s="128"/>
    </row>
    <row r="177" spans="7:12" s="123" customFormat="1">
      <c r="G177" s="125"/>
      <c r="H177" s="125"/>
      <c r="I177" s="126"/>
      <c r="J177" s="127"/>
      <c r="K177" s="127"/>
      <c r="L177" s="128"/>
    </row>
    <row r="178" spans="7:12" s="123" customFormat="1">
      <c r="G178" s="125"/>
      <c r="H178" s="125"/>
      <c r="I178" s="126"/>
      <c r="J178" s="127"/>
      <c r="K178" s="127"/>
      <c r="L178" s="128"/>
    </row>
    <row r="179" spans="7:12" s="123" customFormat="1">
      <c r="G179" s="125"/>
      <c r="H179" s="125"/>
      <c r="I179" s="126"/>
      <c r="J179" s="127"/>
      <c r="K179" s="127"/>
      <c r="L179" s="128"/>
    </row>
    <row r="180" spans="7:12" s="123" customFormat="1">
      <c r="G180" s="125"/>
      <c r="H180" s="125"/>
      <c r="I180" s="126"/>
      <c r="J180" s="127"/>
      <c r="K180" s="127"/>
      <c r="L180" s="128"/>
    </row>
    <row r="181" spans="7:12" s="123" customFormat="1">
      <c r="G181" s="125"/>
      <c r="H181" s="125"/>
      <c r="I181" s="126"/>
      <c r="J181" s="127"/>
      <c r="K181" s="127"/>
      <c r="L181" s="128"/>
    </row>
    <row r="182" spans="7:12" s="123" customFormat="1">
      <c r="G182" s="125"/>
      <c r="H182" s="125"/>
      <c r="I182" s="126"/>
      <c r="J182" s="127"/>
      <c r="K182" s="127"/>
      <c r="L182" s="128"/>
    </row>
    <row r="183" spans="7:12" s="123" customFormat="1">
      <c r="G183" s="125"/>
      <c r="H183" s="125"/>
      <c r="I183" s="126"/>
      <c r="J183" s="127"/>
      <c r="K183" s="127"/>
      <c r="L183" s="128"/>
    </row>
    <row r="184" spans="7:12" s="123" customFormat="1">
      <c r="G184" s="125"/>
      <c r="H184" s="125"/>
      <c r="I184" s="126"/>
      <c r="J184" s="127"/>
      <c r="K184" s="127"/>
      <c r="L184" s="128"/>
    </row>
    <row r="185" spans="7:12" s="123" customFormat="1">
      <c r="G185" s="125"/>
      <c r="H185" s="125"/>
      <c r="I185" s="126"/>
      <c r="J185" s="127"/>
      <c r="K185" s="127"/>
      <c r="L185" s="128"/>
    </row>
    <row r="186" spans="7:12" s="123" customFormat="1">
      <c r="G186" s="125"/>
      <c r="H186" s="125"/>
      <c r="I186" s="126"/>
      <c r="J186" s="127"/>
      <c r="K186" s="127"/>
      <c r="L186" s="128"/>
    </row>
    <row r="187" spans="7:12" s="123" customFormat="1">
      <c r="G187" s="125"/>
      <c r="H187" s="125"/>
      <c r="I187" s="126"/>
      <c r="J187" s="127"/>
      <c r="K187" s="127"/>
      <c r="L187" s="128"/>
    </row>
    <row r="188" spans="7:12" s="123" customFormat="1">
      <c r="G188" s="125"/>
      <c r="H188" s="125"/>
      <c r="I188" s="126"/>
      <c r="J188" s="127"/>
      <c r="K188" s="127"/>
      <c r="L188" s="128"/>
    </row>
    <row r="189" spans="7:12" s="123" customFormat="1">
      <c r="G189" s="125"/>
      <c r="H189" s="125"/>
      <c r="I189" s="126"/>
      <c r="J189" s="127"/>
      <c r="K189" s="127"/>
      <c r="L189" s="128"/>
    </row>
    <row r="190" spans="7:12" s="123" customFormat="1">
      <c r="G190" s="125"/>
      <c r="H190" s="125"/>
      <c r="I190" s="126"/>
      <c r="J190" s="127"/>
      <c r="K190" s="127"/>
      <c r="L190" s="128"/>
    </row>
  </sheetData>
  <mergeCells count="9">
    <mergeCell ref="L27:L28"/>
    <mergeCell ref="A50:F50"/>
    <mergeCell ref="A3:F3"/>
    <mergeCell ref="A4:F4"/>
    <mergeCell ref="E7:F7"/>
    <mergeCell ref="A7:A8"/>
    <mergeCell ref="B7:B8"/>
    <mergeCell ref="C7:C8"/>
    <mergeCell ref="D7:D8"/>
  </mergeCells>
  <phoneticPr fontId="29" type="noConversion"/>
  <pageMargins left="0.74" right="0.31" top="0.67" bottom="0.65" header="0.27" footer="0.3"/>
  <pageSetup paperSize="9" scale="82" fitToHeight="0" orientation="portrait" verticalDpi="0" r:id="rId1"/>
  <headerFooter>
    <oddFooter>&amp;C&amp;12&amp;P/&amp;N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6"/>
  <sheetViews>
    <sheetView showGridLines="0" showZeros="0" workbookViewId="0">
      <selection activeCell="J15" sqref="J15"/>
    </sheetView>
  </sheetViews>
  <sheetFormatPr defaultRowHeight="16.5"/>
  <cols>
    <col min="1" max="1" width="6.42578125" style="94" customWidth="1"/>
    <col min="2" max="2" width="47.28515625" style="94" customWidth="1"/>
    <col min="3" max="4" width="16.5703125" style="94" customWidth="1"/>
    <col min="5" max="5" width="15.28515625" style="94" customWidth="1"/>
    <col min="6" max="7" width="17.42578125" style="94" customWidth="1"/>
    <col min="8" max="8" width="16.42578125" style="94" customWidth="1"/>
    <col min="9" max="10" width="12.5703125" style="94" customWidth="1"/>
    <col min="11" max="11" width="12.42578125" style="94" customWidth="1"/>
    <col min="12" max="12" width="15.85546875" style="94" customWidth="1"/>
    <col min="13" max="16384" width="9.140625" style="94"/>
  </cols>
  <sheetData>
    <row r="1" spans="1:11" ht="16.5" customHeight="1">
      <c r="A1" s="153" t="s">
        <v>52</v>
      </c>
      <c r="B1" s="154"/>
      <c r="C1" s="155"/>
      <c r="D1" s="155"/>
      <c r="E1" s="155"/>
      <c r="F1" s="155"/>
      <c r="G1" s="155"/>
      <c r="H1" s="155"/>
      <c r="I1" s="155"/>
    </row>
    <row r="2" spans="1:11">
      <c r="A2" s="130" t="s">
        <v>0</v>
      </c>
    </row>
    <row r="3" spans="1:11" ht="20.25">
      <c r="A3" s="362" t="s">
        <v>463</v>
      </c>
      <c r="B3" s="362"/>
      <c r="C3" s="362"/>
      <c r="D3" s="362"/>
      <c r="E3" s="362"/>
      <c r="F3" s="362"/>
      <c r="G3" s="362"/>
      <c r="H3" s="362"/>
      <c r="I3" s="362"/>
      <c r="J3" s="362"/>
      <c r="K3" s="362"/>
    </row>
    <row r="4" spans="1:11" ht="21.75" customHeight="1">
      <c r="A4" s="363" t="s">
        <v>437</v>
      </c>
      <c r="B4" s="363"/>
      <c r="C4" s="363"/>
      <c r="D4" s="363"/>
      <c r="E4" s="363"/>
      <c r="F4" s="363"/>
      <c r="G4" s="363"/>
      <c r="H4" s="363"/>
      <c r="I4" s="363"/>
      <c r="J4" s="363"/>
      <c r="K4" s="363"/>
    </row>
    <row r="5" spans="1:11">
      <c r="A5" s="130" t="s">
        <v>0</v>
      </c>
    </row>
    <row r="6" spans="1:11">
      <c r="J6" s="364" t="s">
        <v>464</v>
      </c>
      <c r="K6" s="364"/>
    </row>
    <row r="7" spans="1:11" ht="7.5" customHeight="1">
      <c r="A7" s="130" t="s">
        <v>0</v>
      </c>
    </row>
    <row r="8" spans="1:11" ht="19.5" customHeight="1">
      <c r="A8" s="360" t="s">
        <v>134</v>
      </c>
      <c r="B8" s="360" t="s">
        <v>2</v>
      </c>
      <c r="C8" s="360" t="s">
        <v>449</v>
      </c>
      <c r="D8" s="360" t="s">
        <v>53</v>
      </c>
      <c r="E8" s="360"/>
      <c r="F8" s="360" t="s">
        <v>450</v>
      </c>
      <c r="G8" s="360" t="s">
        <v>53</v>
      </c>
      <c r="H8" s="360"/>
      <c r="I8" s="360" t="s">
        <v>5</v>
      </c>
      <c r="J8" s="360"/>
      <c r="K8" s="360"/>
    </row>
    <row r="9" spans="1:11" ht="36" customHeight="1">
      <c r="A9" s="360"/>
      <c r="B9" s="360"/>
      <c r="C9" s="360"/>
      <c r="D9" s="133" t="s">
        <v>54</v>
      </c>
      <c r="E9" s="133" t="s">
        <v>55</v>
      </c>
      <c r="F9" s="360"/>
      <c r="G9" s="133" t="s">
        <v>54</v>
      </c>
      <c r="H9" s="133" t="s">
        <v>55</v>
      </c>
      <c r="I9" s="133" t="s">
        <v>252</v>
      </c>
      <c r="J9" s="133" t="s">
        <v>54</v>
      </c>
      <c r="K9" s="133" t="s">
        <v>55</v>
      </c>
    </row>
    <row r="10" spans="1:11">
      <c r="A10" s="133" t="s">
        <v>6</v>
      </c>
      <c r="B10" s="133" t="s">
        <v>23</v>
      </c>
      <c r="C10" s="133" t="s">
        <v>384</v>
      </c>
      <c r="D10" s="133">
        <v>2</v>
      </c>
      <c r="E10" s="133">
        <v>3</v>
      </c>
      <c r="F10" s="133" t="s">
        <v>385</v>
      </c>
      <c r="G10" s="133">
        <v>5</v>
      </c>
      <c r="H10" s="133">
        <v>6</v>
      </c>
      <c r="I10" s="133" t="s">
        <v>386</v>
      </c>
      <c r="J10" s="133" t="s">
        <v>387</v>
      </c>
      <c r="K10" s="133" t="s">
        <v>388</v>
      </c>
    </row>
    <row r="11" spans="1:11" ht="24.75" customHeight="1">
      <c r="A11" s="134"/>
      <c r="B11" s="135" t="s">
        <v>44</v>
      </c>
      <c r="C11" s="206">
        <f>C12+C28</f>
        <v>407254</v>
      </c>
      <c r="D11" s="206">
        <f t="shared" ref="D11:E11" si="0">D12+D28</f>
        <v>337301</v>
      </c>
      <c r="E11" s="206">
        <f t="shared" si="0"/>
        <v>69953</v>
      </c>
      <c r="F11" s="206">
        <f>F12+F28+F63+F64</f>
        <v>600045.07984400005</v>
      </c>
      <c r="G11" s="206">
        <f>G12+G28+G63+G64</f>
        <v>500209.38620799989</v>
      </c>
      <c r="H11" s="206">
        <f>H12+H28+H63+H64</f>
        <v>99835.693635999996</v>
      </c>
      <c r="I11" s="217">
        <f>F11/C11</f>
        <v>1.4733927225859047</v>
      </c>
      <c r="J11" s="217">
        <f>G11/D11</f>
        <v>1.4829762918224372</v>
      </c>
      <c r="K11" s="217">
        <f>H11/E11</f>
        <v>1.4271824458707989</v>
      </c>
    </row>
    <row r="12" spans="1:11">
      <c r="A12" s="136" t="s">
        <v>6</v>
      </c>
      <c r="B12" s="137" t="s">
        <v>7</v>
      </c>
      <c r="C12" s="205">
        <f>C13+C22+C26+C27</f>
        <v>398125</v>
      </c>
      <c r="D12" s="205">
        <f>D13+D22+D26+D27</f>
        <v>328682</v>
      </c>
      <c r="E12" s="205">
        <f>E13+E22+E26+E27</f>
        <v>69443</v>
      </c>
      <c r="F12" s="205">
        <f>F13+F22</f>
        <v>386191.95919900003</v>
      </c>
      <c r="G12" s="205">
        <f t="shared" ref="G12:H12" si="1">G13+G22</f>
        <v>314410.02670599998</v>
      </c>
      <c r="H12" s="205">
        <f t="shared" si="1"/>
        <v>71781.932493</v>
      </c>
      <c r="I12" s="210">
        <f t="shared" ref="I12:I14" si="2">F12/C12</f>
        <v>0.97002689908697026</v>
      </c>
      <c r="J12" s="210">
        <f t="shared" ref="J12:J14" si="3">G12/D12</f>
        <v>0.95657817192909855</v>
      </c>
      <c r="K12" s="210">
        <f t="shared" ref="K12:K14" si="4">H12/E12</f>
        <v>1.0336813284708322</v>
      </c>
    </row>
    <row r="13" spans="1:11">
      <c r="A13" s="136" t="s">
        <v>8</v>
      </c>
      <c r="B13" s="137" t="s">
        <v>9</v>
      </c>
      <c r="C13" s="205">
        <f>C14+C21</f>
        <v>24774</v>
      </c>
      <c r="D13" s="205">
        <f>D14+D21</f>
        <v>23874</v>
      </c>
      <c r="E13" s="205">
        <f t="shared" ref="E13" si="5">E14+E21</f>
        <v>900</v>
      </c>
      <c r="F13" s="205">
        <f>F14+F21</f>
        <v>29615.366952999997</v>
      </c>
      <c r="G13" s="205">
        <f t="shared" ref="G13:H13" si="6">G14+G21</f>
        <v>28701.976719999999</v>
      </c>
      <c r="H13" s="205">
        <f t="shared" si="6"/>
        <v>913.39023299999997</v>
      </c>
      <c r="I13" s="210">
        <f t="shared" si="2"/>
        <v>1.1954212865504157</v>
      </c>
      <c r="J13" s="210">
        <f t="shared" si="3"/>
        <v>1.2022273904666163</v>
      </c>
      <c r="K13" s="210">
        <f t="shared" si="4"/>
        <v>1.0148780366666665</v>
      </c>
    </row>
    <row r="14" spans="1:11">
      <c r="A14" s="92" t="s">
        <v>10</v>
      </c>
      <c r="B14" s="93" t="s">
        <v>11</v>
      </c>
      <c r="C14" s="207">
        <f>SUM(D14:E14)</f>
        <v>23984</v>
      </c>
      <c r="D14" s="207">
        <f>23874-790</f>
        <v>23084</v>
      </c>
      <c r="E14" s="207">
        <v>900</v>
      </c>
      <c r="F14" s="207">
        <f>SUM(G14:H14)</f>
        <v>29615.366952999997</v>
      </c>
      <c r="G14" s="207">
        <v>28701.976719999999</v>
      </c>
      <c r="H14" s="207">
        <v>913.39023299999997</v>
      </c>
      <c r="I14" s="211">
        <f t="shared" si="2"/>
        <v>1.2347968209222815</v>
      </c>
      <c r="J14" s="211">
        <f t="shared" si="3"/>
        <v>1.243371024085947</v>
      </c>
      <c r="K14" s="211">
        <f t="shared" si="4"/>
        <v>1.0148780366666665</v>
      </c>
    </row>
    <row r="15" spans="1:11">
      <c r="A15" s="146" t="s">
        <v>394</v>
      </c>
      <c r="B15" s="93" t="s">
        <v>416</v>
      </c>
      <c r="C15" s="207"/>
      <c r="D15" s="207"/>
      <c r="E15" s="207"/>
      <c r="F15" s="207"/>
      <c r="G15" s="207"/>
      <c r="H15" s="207"/>
      <c r="I15" s="211"/>
      <c r="J15" s="211"/>
      <c r="K15" s="211"/>
    </row>
    <row r="16" spans="1:11" s="158" customFormat="1">
      <c r="A16" s="156" t="s">
        <v>12</v>
      </c>
      <c r="B16" s="157" t="s">
        <v>13</v>
      </c>
      <c r="C16" s="213">
        <f>SUM(D16:E16)</f>
        <v>1850</v>
      </c>
      <c r="D16" s="213">
        <v>1850</v>
      </c>
      <c r="E16" s="213"/>
      <c r="F16" s="213">
        <f>SUM(G16:H16)</f>
        <v>4827.7889999999998</v>
      </c>
      <c r="G16" s="213">
        <v>4827.7889999999998</v>
      </c>
      <c r="H16" s="213"/>
      <c r="I16" s="218">
        <f t="shared" ref="I16:I58" si="7">F16/C16</f>
        <v>2.6096156756756757</v>
      </c>
      <c r="J16" s="218">
        <f t="shared" ref="J16:J58" si="8">G16/D16</f>
        <v>2.6096156756756757</v>
      </c>
      <c r="K16" s="218"/>
    </row>
    <row r="17" spans="1:11" s="158" customFormat="1">
      <c r="A17" s="156" t="s">
        <v>12</v>
      </c>
      <c r="B17" s="157" t="s">
        <v>14</v>
      </c>
      <c r="C17" s="213">
        <f>SUM(D17:E17)</f>
        <v>0</v>
      </c>
      <c r="D17" s="213"/>
      <c r="E17" s="213"/>
      <c r="F17" s="213">
        <f>SUM(G17:H17)</f>
        <v>0</v>
      </c>
      <c r="G17" s="213"/>
      <c r="H17" s="213"/>
      <c r="I17" s="218"/>
      <c r="J17" s="218"/>
      <c r="K17" s="218"/>
    </row>
    <row r="18" spans="1:11">
      <c r="A18" s="146" t="s">
        <v>394</v>
      </c>
      <c r="B18" s="93" t="s">
        <v>415</v>
      </c>
      <c r="C18" s="207"/>
      <c r="D18" s="207"/>
      <c r="E18" s="207"/>
      <c r="F18" s="207"/>
      <c r="G18" s="207"/>
      <c r="H18" s="207"/>
      <c r="I18" s="218"/>
      <c r="J18" s="218"/>
      <c r="K18" s="218"/>
    </row>
    <row r="19" spans="1:11" s="158" customFormat="1">
      <c r="A19" s="156" t="s">
        <v>12</v>
      </c>
      <c r="B19" s="157" t="s">
        <v>253</v>
      </c>
      <c r="C19" s="213">
        <f>SUM(D19:E19)</f>
        <v>7130</v>
      </c>
      <c r="D19" s="213">
        <f>7920-790-900</f>
        <v>6230</v>
      </c>
      <c r="E19" s="213">
        <v>900</v>
      </c>
      <c r="F19" s="213">
        <f>SUM(G19:H19)</f>
        <v>6961.6777929999998</v>
      </c>
      <c r="G19" s="213">
        <v>6048.2875599999998</v>
      </c>
      <c r="H19" s="213">
        <v>913.39023299999997</v>
      </c>
      <c r="I19" s="218">
        <f t="shared" si="7"/>
        <v>0.97639239733520333</v>
      </c>
      <c r="J19" s="218">
        <f t="shared" si="8"/>
        <v>0.97083267415730334</v>
      </c>
      <c r="K19" s="218">
        <f t="shared" ref="K19:K47" si="9">H19/E19</f>
        <v>1.0148780366666665</v>
      </c>
    </row>
    <row r="20" spans="1:11" s="158" customFormat="1">
      <c r="A20" s="156" t="s">
        <v>12</v>
      </c>
      <c r="B20" s="157" t="s">
        <v>15</v>
      </c>
      <c r="C20" s="213">
        <f>SUM(D20:E20)</f>
        <v>0</v>
      </c>
      <c r="D20" s="213"/>
      <c r="E20" s="213"/>
      <c r="F20" s="213">
        <f>SUM(G20:H20)</f>
        <v>0</v>
      </c>
      <c r="G20" s="213"/>
      <c r="H20" s="213"/>
      <c r="I20" s="211"/>
      <c r="J20" s="211"/>
      <c r="K20" s="211"/>
    </row>
    <row r="21" spans="1:11">
      <c r="A21" s="146" t="s">
        <v>18</v>
      </c>
      <c r="B21" s="93" t="s">
        <v>49</v>
      </c>
      <c r="C21" s="207">
        <f>SUM(D21:E21)</f>
        <v>790</v>
      </c>
      <c r="D21" s="207">
        <v>790</v>
      </c>
      <c r="E21" s="207"/>
      <c r="F21" s="207"/>
      <c r="G21" s="207"/>
      <c r="H21" s="207"/>
      <c r="I21" s="211">
        <f t="shared" si="7"/>
        <v>0</v>
      </c>
      <c r="J21" s="211">
        <f t="shared" si="8"/>
        <v>0</v>
      </c>
      <c r="K21" s="211"/>
    </row>
    <row r="22" spans="1:11">
      <c r="A22" s="136" t="s">
        <v>16</v>
      </c>
      <c r="B22" s="137" t="s">
        <v>17</v>
      </c>
      <c r="C22" s="205">
        <f>SUM(D22:E22)</f>
        <v>357798.5</v>
      </c>
      <c r="D22" s="205">
        <f>298225-D27</f>
        <v>292196.5</v>
      </c>
      <c r="E22" s="205">
        <f>67162-E27</f>
        <v>65602</v>
      </c>
      <c r="F22" s="205">
        <f>G22+H22</f>
        <v>356576.59224600001</v>
      </c>
      <c r="G22" s="205">
        <f>304148.538321-G32-G35-G38-G44-G45-G47</f>
        <v>285708.049986</v>
      </c>
      <c r="H22" s="205">
        <f>74552.481237-H32-H35-H38-H47</f>
        <v>70868.542260000002</v>
      </c>
      <c r="I22" s="210">
        <f t="shared" si="7"/>
        <v>0.99658492767856777</v>
      </c>
      <c r="J22" s="210">
        <f t="shared" si="8"/>
        <v>0.97779422404443583</v>
      </c>
      <c r="K22" s="210">
        <f t="shared" si="9"/>
        <v>1.0802802088350965</v>
      </c>
    </row>
    <row r="23" spans="1:11">
      <c r="A23" s="136"/>
      <c r="B23" s="157" t="s">
        <v>202</v>
      </c>
      <c r="C23" s="205"/>
      <c r="D23" s="205"/>
      <c r="E23" s="205"/>
      <c r="F23" s="205"/>
      <c r="G23" s="205"/>
      <c r="H23" s="205"/>
      <c r="I23" s="211"/>
      <c r="J23" s="211"/>
      <c r="K23" s="211"/>
    </row>
    <row r="24" spans="1:11">
      <c r="A24" s="92" t="s">
        <v>10</v>
      </c>
      <c r="B24" s="93" t="s">
        <v>13</v>
      </c>
      <c r="C24" s="207">
        <f>SUM(D24:E24)</f>
        <v>207630.5</v>
      </c>
      <c r="D24" s="207">
        <v>207530.5</v>
      </c>
      <c r="E24" s="207">
        <v>100</v>
      </c>
      <c r="F24" s="207">
        <f>SUM(G24:H24)</f>
        <v>202821.24976700003</v>
      </c>
      <c r="G24" s="207">
        <f>210436.337616-1259.670849-G55-G54</f>
        <v>202402.66676700002</v>
      </c>
      <c r="H24" s="207">
        <f>431.783-13.2</f>
        <v>418.58300000000003</v>
      </c>
      <c r="I24" s="211">
        <f t="shared" si="7"/>
        <v>0.97683745772899466</v>
      </c>
      <c r="J24" s="211">
        <f t="shared" si="8"/>
        <v>0.97529118258280112</v>
      </c>
      <c r="K24" s="211">
        <f>H24/E24</f>
        <v>4.1858300000000002</v>
      </c>
    </row>
    <row r="25" spans="1:11">
      <c r="A25" s="92" t="s">
        <v>18</v>
      </c>
      <c r="B25" s="93" t="s">
        <v>14</v>
      </c>
      <c r="C25" s="207">
        <f>SUM(D25:E25)</f>
        <v>150</v>
      </c>
      <c r="D25" s="207">
        <v>150</v>
      </c>
      <c r="E25" s="207">
        <v>0</v>
      </c>
      <c r="F25" s="207">
        <f>SUM(G25:H25)</f>
        <v>149.96250000000001</v>
      </c>
      <c r="G25" s="207">
        <v>149.96250000000001</v>
      </c>
      <c r="H25" s="207"/>
      <c r="I25" s="211">
        <f t="shared" si="7"/>
        <v>0.99975000000000003</v>
      </c>
      <c r="J25" s="211">
        <f t="shared" si="8"/>
        <v>0.99975000000000003</v>
      </c>
      <c r="K25" s="211"/>
    </row>
    <row r="26" spans="1:11" s="142" customFormat="1">
      <c r="A26" s="136" t="s">
        <v>50</v>
      </c>
      <c r="B26" s="137" t="s">
        <v>20</v>
      </c>
      <c r="C26" s="205">
        <f>SUM(D26:E26)</f>
        <v>7964</v>
      </c>
      <c r="D26" s="205">
        <v>6583</v>
      </c>
      <c r="E26" s="205">
        <v>1381</v>
      </c>
      <c r="F26" s="205"/>
      <c r="G26" s="205"/>
      <c r="H26" s="205"/>
      <c r="I26" s="211">
        <f t="shared" si="7"/>
        <v>0</v>
      </c>
      <c r="J26" s="211">
        <f t="shared" si="8"/>
        <v>0</v>
      </c>
      <c r="K26" s="211">
        <f t="shared" si="9"/>
        <v>0</v>
      </c>
    </row>
    <row r="27" spans="1:11" s="142" customFormat="1">
      <c r="A27" s="136" t="s">
        <v>51</v>
      </c>
      <c r="B27" s="137" t="s">
        <v>22</v>
      </c>
      <c r="C27" s="205">
        <f>SUM(D27:E27)</f>
        <v>7588.5</v>
      </c>
      <c r="D27" s="205">
        <v>6028.5</v>
      </c>
      <c r="E27" s="205">
        <v>1560</v>
      </c>
      <c r="F27" s="205"/>
      <c r="G27" s="205"/>
      <c r="H27" s="205"/>
      <c r="I27" s="211">
        <f t="shared" si="7"/>
        <v>0</v>
      </c>
      <c r="J27" s="211">
        <f t="shared" si="8"/>
        <v>0</v>
      </c>
      <c r="K27" s="211">
        <f t="shared" si="9"/>
        <v>0</v>
      </c>
    </row>
    <row r="28" spans="1:11" s="142" customFormat="1">
      <c r="A28" s="136" t="s">
        <v>23</v>
      </c>
      <c r="B28" s="137" t="s">
        <v>24</v>
      </c>
      <c r="C28" s="205">
        <f t="shared" ref="C28:H28" si="10">C29+C39</f>
        <v>9129</v>
      </c>
      <c r="D28" s="205">
        <f t="shared" si="10"/>
        <v>8619</v>
      </c>
      <c r="E28" s="205">
        <f t="shared" si="10"/>
        <v>510</v>
      </c>
      <c r="F28" s="205">
        <f t="shared" si="10"/>
        <v>51746.445286999995</v>
      </c>
      <c r="G28" s="205">
        <f t="shared" si="10"/>
        <v>48062.506309999997</v>
      </c>
      <c r="H28" s="205">
        <f t="shared" si="10"/>
        <v>3683.9389770000002</v>
      </c>
      <c r="I28" s="210">
        <f t="shared" si="7"/>
        <v>5.6683585592069221</v>
      </c>
      <c r="J28" s="210">
        <f t="shared" si="8"/>
        <v>5.5763436953242831</v>
      </c>
      <c r="K28" s="210">
        <f t="shared" si="9"/>
        <v>7.2234097588235295</v>
      </c>
    </row>
    <row r="29" spans="1:11" s="142" customFormat="1">
      <c r="A29" s="136" t="s">
        <v>8</v>
      </c>
      <c r="B29" s="137" t="s">
        <v>25</v>
      </c>
      <c r="C29" s="205">
        <f>C30+C33+C36</f>
        <v>0</v>
      </c>
      <c r="D29" s="205">
        <f t="shared" ref="D29:H29" si="11">D30+D33+D36</f>
        <v>0</v>
      </c>
      <c r="E29" s="205">
        <f t="shared" si="11"/>
        <v>0</v>
      </c>
      <c r="F29" s="205">
        <f t="shared" si="11"/>
        <v>23950.479649000001</v>
      </c>
      <c r="G29" s="205">
        <f t="shared" si="11"/>
        <v>22065.182726999999</v>
      </c>
      <c r="H29" s="205">
        <f t="shared" si="11"/>
        <v>1885.296922</v>
      </c>
      <c r="I29" s="211"/>
      <c r="J29" s="211"/>
      <c r="K29" s="211"/>
    </row>
    <row r="30" spans="1:11">
      <c r="A30" s="146" t="s">
        <v>10</v>
      </c>
      <c r="B30" s="93" t="s">
        <v>247</v>
      </c>
      <c r="C30" s="207">
        <f>SUM(C31:C32)</f>
        <v>0</v>
      </c>
      <c r="D30" s="207">
        <f t="shared" ref="D30:H30" si="12">SUM(D31:D32)</f>
        <v>0</v>
      </c>
      <c r="E30" s="207">
        <f t="shared" si="12"/>
        <v>0</v>
      </c>
      <c r="F30" s="207">
        <f>SUM(F31:F32)</f>
        <v>1028.9078489999999</v>
      </c>
      <c r="G30" s="207">
        <f t="shared" si="12"/>
        <v>906.20784900000001</v>
      </c>
      <c r="H30" s="207">
        <f t="shared" si="12"/>
        <v>122.7</v>
      </c>
      <c r="I30" s="211"/>
      <c r="J30" s="211"/>
      <c r="K30" s="211"/>
    </row>
    <row r="31" spans="1:11">
      <c r="A31" s="146" t="s">
        <v>12</v>
      </c>
      <c r="B31" s="93" t="s">
        <v>421</v>
      </c>
      <c r="C31" s="207"/>
      <c r="D31" s="207"/>
      <c r="E31" s="207"/>
      <c r="F31" s="207">
        <f>SUM(G31:H31)</f>
        <v>0</v>
      </c>
      <c r="G31" s="207"/>
      <c r="H31" s="207"/>
      <c r="I31" s="211"/>
      <c r="J31" s="211"/>
      <c r="K31" s="211"/>
    </row>
    <row r="32" spans="1:11">
      <c r="A32" s="146" t="s">
        <v>12</v>
      </c>
      <c r="B32" s="93" t="s">
        <v>422</v>
      </c>
      <c r="C32" s="207"/>
      <c r="D32" s="207"/>
      <c r="E32" s="207"/>
      <c r="F32" s="207">
        <f>SUM(G32:H32)</f>
        <v>1028.9078489999999</v>
      </c>
      <c r="G32" s="207">
        <v>906.20784900000001</v>
      </c>
      <c r="H32" s="207">
        <v>122.7</v>
      </c>
      <c r="I32" s="211"/>
      <c r="J32" s="211"/>
      <c r="K32" s="211"/>
    </row>
    <row r="33" spans="1:12">
      <c r="A33" s="146" t="s">
        <v>18</v>
      </c>
      <c r="B33" s="93" t="s">
        <v>248</v>
      </c>
      <c r="C33" s="207">
        <f>SUM(C34:C35)</f>
        <v>0</v>
      </c>
      <c r="D33" s="207">
        <f t="shared" ref="D33:H33" si="13">SUM(D34:D35)</f>
        <v>0</v>
      </c>
      <c r="E33" s="207">
        <f t="shared" si="13"/>
        <v>0</v>
      </c>
      <c r="F33" s="207">
        <f t="shared" si="13"/>
        <v>7097.166311</v>
      </c>
      <c r="G33" s="207">
        <f t="shared" si="13"/>
        <v>6325.7439430000004</v>
      </c>
      <c r="H33" s="207">
        <f t="shared" si="13"/>
        <v>771.42236800000001</v>
      </c>
      <c r="I33" s="211"/>
      <c r="J33" s="211"/>
      <c r="K33" s="211"/>
    </row>
    <row r="34" spans="1:12">
      <c r="A34" s="146" t="s">
        <v>12</v>
      </c>
      <c r="B34" s="93" t="s">
        <v>421</v>
      </c>
      <c r="C34" s="207"/>
      <c r="D34" s="207"/>
      <c r="E34" s="207"/>
      <c r="F34" s="207">
        <f>SUM(G34:H34)</f>
        <v>6151.8021330000001</v>
      </c>
      <c r="G34" s="207">
        <v>6151.8021330000001</v>
      </c>
      <c r="H34" s="207"/>
      <c r="I34" s="211"/>
      <c r="J34" s="211"/>
      <c r="K34" s="211"/>
    </row>
    <row r="35" spans="1:12">
      <c r="A35" s="146" t="s">
        <v>12</v>
      </c>
      <c r="B35" s="93" t="s">
        <v>422</v>
      </c>
      <c r="C35" s="207"/>
      <c r="D35" s="207"/>
      <c r="E35" s="207"/>
      <c r="F35" s="207">
        <f>SUM(G35:H35)</f>
        <v>945.36417800000004</v>
      </c>
      <c r="G35" s="207">
        <v>173.94181</v>
      </c>
      <c r="H35" s="207">
        <v>771.42236800000001</v>
      </c>
      <c r="I35" s="211"/>
      <c r="J35" s="211"/>
      <c r="K35" s="211"/>
    </row>
    <row r="36" spans="1:12" ht="33">
      <c r="A36" s="146" t="s">
        <v>27</v>
      </c>
      <c r="B36" s="93" t="s">
        <v>465</v>
      </c>
      <c r="C36" s="207">
        <f>SUM(C37:C38)</f>
        <v>0</v>
      </c>
      <c r="D36" s="207">
        <f t="shared" ref="D36:H36" si="14">SUM(D37:D38)</f>
        <v>0</v>
      </c>
      <c r="E36" s="207">
        <f t="shared" si="14"/>
        <v>0</v>
      </c>
      <c r="F36" s="207">
        <f t="shared" si="14"/>
        <v>15824.405489000001</v>
      </c>
      <c r="G36" s="207">
        <f t="shared" si="14"/>
        <v>14833.230935</v>
      </c>
      <c r="H36" s="207">
        <f t="shared" si="14"/>
        <v>991.17455399999994</v>
      </c>
      <c r="I36" s="211"/>
      <c r="J36" s="211"/>
      <c r="K36" s="211"/>
    </row>
    <row r="37" spans="1:12">
      <c r="A37" s="146" t="s">
        <v>12</v>
      </c>
      <c r="B37" s="93" t="s">
        <v>421</v>
      </c>
      <c r="C37" s="207"/>
      <c r="D37" s="207"/>
      <c r="E37" s="207"/>
      <c r="F37" s="207">
        <f>SUM(G37:H37)</f>
        <v>13855.329935</v>
      </c>
      <c r="G37" s="207">
        <v>13855.329935</v>
      </c>
      <c r="H37" s="207"/>
      <c r="I37" s="211"/>
      <c r="J37" s="211"/>
      <c r="K37" s="211"/>
    </row>
    <row r="38" spans="1:12">
      <c r="A38" s="146" t="s">
        <v>12</v>
      </c>
      <c r="B38" s="93" t="s">
        <v>422</v>
      </c>
      <c r="C38" s="207"/>
      <c r="D38" s="207"/>
      <c r="E38" s="207"/>
      <c r="F38" s="207">
        <f>SUM(G38:H38)</f>
        <v>1969.075554</v>
      </c>
      <c r="G38" s="207">
        <v>977.90099999999995</v>
      </c>
      <c r="H38" s="207">
        <v>991.17455399999994</v>
      </c>
      <c r="I38" s="211"/>
      <c r="J38" s="211"/>
      <c r="K38" s="211"/>
      <c r="L38" s="94">
        <v>983</v>
      </c>
    </row>
    <row r="39" spans="1:12" s="142" customFormat="1">
      <c r="A39" s="136" t="s">
        <v>16</v>
      </c>
      <c r="B39" s="137" t="s">
        <v>155</v>
      </c>
      <c r="C39" s="205">
        <f>C40+C47</f>
        <v>9129</v>
      </c>
      <c r="D39" s="205">
        <f t="shared" ref="D39:H39" si="15">D40+D47</f>
        <v>8619</v>
      </c>
      <c r="E39" s="205">
        <f t="shared" si="15"/>
        <v>510</v>
      </c>
      <c r="F39" s="205">
        <f>F40+F47</f>
        <v>27795.965637999998</v>
      </c>
      <c r="G39" s="205">
        <f t="shared" si="15"/>
        <v>25997.323582999998</v>
      </c>
      <c r="H39" s="205">
        <f t="shared" si="15"/>
        <v>1798.6420550000003</v>
      </c>
      <c r="I39" s="210">
        <f t="shared" si="7"/>
        <v>3.0447985144046443</v>
      </c>
      <c r="J39" s="210">
        <f t="shared" si="8"/>
        <v>3.016280726650423</v>
      </c>
      <c r="K39" s="210">
        <f t="shared" si="9"/>
        <v>3.526749127450981</v>
      </c>
      <c r="L39" s="223">
        <f>H38-L38</f>
        <v>8.1745539999999437</v>
      </c>
    </row>
    <row r="40" spans="1:12" s="95" customFormat="1" ht="17.25">
      <c r="A40" s="91" t="s">
        <v>417</v>
      </c>
      <c r="B40" s="90" t="s">
        <v>418</v>
      </c>
      <c r="C40" s="214">
        <f>SUM(C41:C46)</f>
        <v>7999</v>
      </c>
      <c r="D40" s="214">
        <f t="shared" ref="D40:H40" si="16">SUM(D41:D46)</f>
        <v>7999</v>
      </c>
      <c r="E40" s="214">
        <f t="shared" ref="E40" si="17">SUM(E41:E46)</f>
        <v>0</v>
      </c>
      <c r="F40" s="214">
        <f>SUM(F41:F46)</f>
        <v>11054.885907</v>
      </c>
      <c r="G40" s="214">
        <f t="shared" ref="G40" si="18">SUM(G41:G46)</f>
        <v>11054.885907</v>
      </c>
      <c r="H40" s="214">
        <f t="shared" si="16"/>
        <v>0</v>
      </c>
      <c r="I40" s="219">
        <f t="shared" si="7"/>
        <v>1.3820334925615703</v>
      </c>
      <c r="J40" s="219">
        <f t="shared" si="8"/>
        <v>1.3820334925615703</v>
      </c>
      <c r="K40" s="211"/>
    </row>
    <row r="41" spans="1:12" ht="33">
      <c r="A41" s="81" t="s">
        <v>10</v>
      </c>
      <c r="B41" s="80" t="s">
        <v>423</v>
      </c>
      <c r="C41" s="207">
        <f>SUM(D41:E41)</f>
        <v>2780</v>
      </c>
      <c r="D41" s="207">
        <v>2780</v>
      </c>
      <c r="E41" s="207"/>
      <c r="F41" s="207">
        <f>SUM(G41:H41)</f>
        <v>3581.3</v>
      </c>
      <c r="G41" s="207">
        <v>3581.3</v>
      </c>
      <c r="H41" s="207"/>
      <c r="I41" s="211">
        <f t="shared" si="7"/>
        <v>1.2882374100719425</v>
      </c>
      <c r="J41" s="211">
        <f t="shared" si="8"/>
        <v>1.2882374100719425</v>
      </c>
      <c r="K41" s="211"/>
    </row>
    <row r="42" spans="1:12">
      <c r="A42" s="81" t="s">
        <v>18</v>
      </c>
      <c r="B42" s="80" t="s">
        <v>424</v>
      </c>
      <c r="C42" s="207">
        <f t="shared" ref="C42:C46" si="19">SUM(D42:E42)</f>
        <v>920</v>
      </c>
      <c r="D42" s="207">
        <v>920</v>
      </c>
      <c r="E42" s="207"/>
      <c r="F42" s="207">
        <f t="shared" ref="F42:F46" si="20">SUM(G42:H42)</f>
        <v>2265.4344999999998</v>
      </c>
      <c r="G42" s="207">
        <v>2265.4344999999998</v>
      </c>
      <c r="H42" s="207"/>
      <c r="I42" s="211">
        <f t="shared" si="7"/>
        <v>2.4624288043478257</v>
      </c>
      <c r="J42" s="211">
        <f t="shared" si="8"/>
        <v>2.4624288043478257</v>
      </c>
      <c r="K42" s="211"/>
    </row>
    <row r="43" spans="1:12" ht="33">
      <c r="A43" s="81" t="s">
        <v>27</v>
      </c>
      <c r="B43" s="80" t="s">
        <v>425</v>
      </c>
      <c r="C43" s="207">
        <f t="shared" si="19"/>
        <v>2500</v>
      </c>
      <c r="D43" s="207">
        <v>2500</v>
      </c>
      <c r="E43" s="207"/>
      <c r="F43" s="207">
        <f t="shared" si="20"/>
        <v>2852.5369999999998</v>
      </c>
      <c r="G43" s="207">
        <v>2852.5369999999998</v>
      </c>
      <c r="H43" s="207"/>
      <c r="I43" s="211">
        <f t="shared" si="7"/>
        <v>1.1410148</v>
      </c>
      <c r="J43" s="211">
        <f t="shared" si="8"/>
        <v>1.1410148</v>
      </c>
      <c r="K43" s="211"/>
    </row>
    <row r="44" spans="1:12" ht="99">
      <c r="A44" s="81" t="s">
        <v>28</v>
      </c>
      <c r="B44" s="80" t="s">
        <v>466</v>
      </c>
      <c r="C44" s="207">
        <f t="shared" si="19"/>
        <v>1000</v>
      </c>
      <c r="D44" s="207">
        <v>1000</v>
      </c>
      <c r="E44" s="207"/>
      <c r="F44" s="207">
        <f t="shared" si="20"/>
        <v>757.02449999999999</v>
      </c>
      <c r="G44" s="207">
        <f>1440-G45</f>
        <v>757.02449999999999</v>
      </c>
      <c r="H44" s="207"/>
      <c r="I44" s="211">
        <f t="shared" si="7"/>
        <v>0.75702449999999999</v>
      </c>
      <c r="J44" s="211">
        <f t="shared" si="8"/>
        <v>0.75702449999999999</v>
      </c>
      <c r="K44" s="211"/>
    </row>
    <row r="45" spans="1:12" ht="115.5">
      <c r="A45" s="81" t="s">
        <v>29</v>
      </c>
      <c r="B45" s="80" t="s">
        <v>467</v>
      </c>
      <c r="C45" s="207">
        <f t="shared" ref="C45" si="21">SUM(D45:E45)</f>
        <v>799</v>
      </c>
      <c r="D45" s="207">
        <v>799</v>
      </c>
      <c r="E45" s="207"/>
      <c r="F45" s="207">
        <f t="shared" ref="F45" si="22">SUM(G45:H45)</f>
        <v>682.97550000000001</v>
      </c>
      <c r="G45" s="207">
        <v>682.97550000000001</v>
      </c>
      <c r="H45" s="207"/>
      <c r="I45" s="211">
        <f t="shared" ref="I45" si="23">F45/C45</f>
        <v>0.854787859824781</v>
      </c>
      <c r="J45" s="211">
        <f t="shared" ref="J45" si="24">G45/D45</f>
        <v>0.854787859824781</v>
      </c>
      <c r="K45" s="211"/>
    </row>
    <row r="46" spans="1:12" ht="33">
      <c r="A46" s="81" t="s">
        <v>30</v>
      </c>
      <c r="B46" s="159" t="s">
        <v>426</v>
      </c>
      <c r="C46" s="207">
        <f t="shared" si="19"/>
        <v>0</v>
      </c>
      <c r="D46" s="215"/>
      <c r="E46" s="207"/>
      <c r="F46" s="207">
        <f t="shared" si="20"/>
        <v>915.61440700000003</v>
      </c>
      <c r="G46" s="207">
        <v>915.61440700000003</v>
      </c>
      <c r="H46" s="207"/>
      <c r="I46" s="211"/>
      <c r="J46" s="211"/>
      <c r="K46" s="211"/>
    </row>
    <row r="47" spans="1:12" s="95" customFormat="1" ht="17.25">
      <c r="A47" s="91" t="s">
        <v>419</v>
      </c>
      <c r="B47" s="96" t="s">
        <v>420</v>
      </c>
      <c r="C47" s="214">
        <f>C48+C56</f>
        <v>1130</v>
      </c>
      <c r="D47" s="214">
        <f t="shared" ref="D47:H47" si="25">D48+D56</f>
        <v>620</v>
      </c>
      <c r="E47" s="214">
        <f t="shared" si="25"/>
        <v>510</v>
      </c>
      <c r="F47" s="214">
        <f t="shared" si="25"/>
        <v>16741.079730999998</v>
      </c>
      <c r="G47" s="214">
        <f t="shared" si="25"/>
        <v>14942.437676</v>
      </c>
      <c r="H47" s="214">
        <f t="shared" si="25"/>
        <v>1798.6420550000003</v>
      </c>
      <c r="I47" s="219">
        <f t="shared" si="7"/>
        <v>14.815114806194689</v>
      </c>
      <c r="J47" s="219">
        <f t="shared" si="8"/>
        <v>24.100705929032259</v>
      </c>
      <c r="K47" s="219">
        <f t="shared" si="9"/>
        <v>3.526749127450981</v>
      </c>
    </row>
    <row r="48" spans="1:12">
      <c r="A48" s="81" t="s">
        <v>10</v>
      </c>
      <c r="B48" s="159" t="s">
        <v>468</v>
      </c>
      <c r="C48" s="207">
        <f>SUM(C49:C55)</f>
        <v>120</v>
      </c>
      <c r="D48" s="207">
        <f t="shared" ref="D48:H48" si="26">SUM(D49:D55)</f>
        <v>120</v>
      </c>
      <c r="E48" s="207">
        <f t="shared" si="26"/>
        <v>0</v>
      </c>
      <c r="F48" s="207">
        <f>SUM(F49:F55)</f>
        <v>13628.682554999999</v>
      </c>
      <c r="G48" s="207">
        <f t="shared" si="26"/>
        <v>12923.954</v>
      </c>
      <c r="H48" s="207">
        <f t="shared" si="26"/>
        <v>704.72855500000003</v>
      </c>
      <c r="I48" s="211">
        <f t="shared" ref="I48" si="27">F48/C48</f>
        <v>113.57235462499999</v>
      </c>
      <c r="J48" s="211">
        <f>G48/D48</f>
        <v>107.69961666666667</v>
      </c>
      <c r="K48" s="211"/>
    </row>
    <row r="49" spans="1:11" ht="33">
      <c r="A49" s="81" t="s">
        <v>12</v>
      </c>
      <c r="B49" s="80" t="s">
        <v>428</v>
      </c>
      <c r="C49" s="207">
        <f t="shared" ref="C49:C50" si="28">SUM(D49:E49)</f>
        <v>120</v>
      </c>
      <c r="D49" s="216">
        <v>120</v>
      </c>
      <c r="E49" s="207"/>
      <c r="F49" s="207">
        <f>SUM(G49:H49)</f>
        <v>120</v>
      </c>
      <c r="G49" s="207">
        <v>120</v>
      </c>
      <c r="H49" s="207"/>
      <c r="I49" s="211">
        <f t="shared" si="7"/>
        <v>1</v>
      </c>
      <c r="J49" s="211">
        <f t="shared" si="8"/>
        <v>1</v>
      </c>
      <c r="K49" s="211"/>
    </row>
    <row r="50" spans="1:11" ht="33">
      <c r="A50" s="81" t="s">
        <v>12</v>
      </c>
      <c r="B50" s="80" t="s">
        <v>476</v>
      </c>
      <c r="C50" s="207">
        <f t="shared" si="28"/>
        <v>0</v>
      </c>
      <c r="D50" s="216"/>
      <c r="E50" s="207"/>
      <c r="F50" s="207">
        <f t="shared" ref="F50:F55" si="29">SUM(G50:H50)</f>
        <v>208.506</v>
      </c>
      <c r="G50" s="207"/>
      <c r="H50" s="207">
        <v>208.506</v>
      </c>
      <c r="I50" s="211"/>
      <c r="J50" s="211"/>
      <c r="K50" s="211"/>
    </row>
    <row r="51" spans="1:11" ht="33">
      <c r="A51" s="81" t="s">
        <v>12</v>
      </c>
      <c r="B51" s="80" t="s">
        <v>477</v>
      </c>
      <c r="C51" s="207"/>
      <c r="D51" s="216"/>
      <c r="E51" s="207"/>
      <c r="F51" s="207">
        <f t="shared" si="29"/>
        <v>4989.176555</v>
      </c>
      <c r="G51" s="207">
        <v>4492.9539999999997</v>
      </c>
      <c r="H51" s="207">
        <v>496.222555</v>
      </c>
      <c r="I51" s="211"/>
      <c r="J51" s="211"/>
      <c r="K51" s="211"/>
    </row>
    <row r="52" spans="1:11" ht="33">
      <c r="A52" s="81" t="s">
        <v>12</v>
      </c>
      <c r="B52" s="80" t="s">
        <v>478</v>
      </c>
      <c r="C52" s="207">
        <f t="shared" ref="C52:C53" si="30">SUM(D52:E52)</f>
        <v>0</v>
      </c>
      <c r="D52" s="216"/>
      <c r="E52" s="207"/>
      <c r="F52" s="207">
        <f t="shared" si="29"/>
        <v>1532</v>
      </c>
      <c r="G52" s="207">
        <v>1532</v>
      </c>
      <c r="H52" s="207"/>
      <c r="I52" s="211"/>
      <c r="J52" s="211"/>
      <c r="K52" s="211"/>
    </row>
    <row r="53" spans="1:11" ht="49.5">
      <c r="A53" s="81" t="s">
        <v>12</v>
      </c>
      <c r="B53" s="80" t="s">
        <v>479</v>
      </c>
      <c r="C53" s="207">
        <f t="shared" si="30"/>
        <v>0</v>
      </c>
      <c r="D53" s="216"/>
      <c r="E53" s="207"/>
      <c r="F53" s="207">
        <f t="shared" ref="F53" si="31">SUM(G53:H53)</f>
        <v>5</v>
      </c>
      <c r="G53" s="207">
        <v>5</v>
      </c>
      <c r="H53" s="207"/>
      <c r="I53" s="211"/>
      <c r="J53" s="211"/>
      <c r="K53" s="211"/>
    </row>
    <row r="54" spans="1:11" ht="66">
      <c r="A54" s="81" t="s">
        <v>12</v>
      </c>
      <c r="B54" s="80" t="s">
        <v>480</v>
      </c>
      <c r="C54" s="207">
        <f t="shared" ref="C54" si="32">SUM(D54:E54)</f>
        <v>0</v>
      </c>
      <c r="D54" s="216"/>
      <c r="E54" s="207"/>
      <c r="F54" s="207">
        <f t="shared" ref="F54" si="33">SUM(G54:H54)</f>
        <v>96</v>
      </c>
      <c r="G54" s="207">
        <v>96</v>
      </c>
      <c r="H54" s="207"/>
      <c r="I54" s="211"/>
      <c r="J54" s="211"/>
      <c r="K54" s="211"/>
    </row>
    <row r="55" spans="1:11" ht="49.5">
      <c r="A55" s="81" t="s">
        <v>12</v>
      </c>
      <c r="B55" s="80" t="s">
        <v>481</v>
      </c>
      <c r="C55" s="207">
        <f t="shared" ref="C55:C62" si="34">SUM(D55:E55)</f>
        <v>0</v>
      </c>
      <c r="D55" s="216"/>
      <c r="E55" s="207"/>
      <c r="F55" s="207">
        <f t="shared" si="29"/>
        <v>6678</v>
      </c>
      <c r="G55" s="207">
        <v>6678</v>
      </c>
      <c r="H55" s="207"/>
      <c r="I55" s="211"/>
      <c r="J55" s="211"/>
      <c r="K55" s="211"/>
    </row>
    <row r="56" spans="1:11">
      <c r="A56" s="81" t="s">
        <v>18</v>
      </c>
      <c r="B56" s="80" t="s">
        <v>469</v>
      </c>
      <c r="C56" s="207">
        <f t="shared" ref="C56:H56" si="35">SUM(C57:C62)</f>
        <v>1010</v>
      </c>
      <c r="D56" s="207">
        <f t="shared" si="35"/>
        <v>500</v>
      </c>
      <c r="E56" s="207">
        <f t="shared" si="35"/>
        <v>510</v>
      </c>
      <c r="F56" s="207">
        <f t="shared" si="35"/>
        <v>3112.3971760000004</v>
      </c>
      <c r="G56" s="207">
        <f t="shared" si="35"/>
        <v>2018.4836760000001</v>
      </c>
      <c r="H56" s="207">
        <f t="shared" si="35"/>
        <v>1093.9135000000001</v>
      </c>
      <c r="I56" s="211">
        <f t="shared" si="7"/>
        <v>3.0815813623762378</v>
      </c>
      <c r="J56" s="211">
        <f t="shared" si="8"/>
        <v>4.0369673520000005</v>
      </c>
      <c r="K56" s="211">
        <f>H56/E56</f>
        <v>2.1449284313725494</v>
      </c>
    </row>
    <row r="57" spans="1:11" ht="49.5">
      <c r="A57" s="81" t="s">
        <v>12</v>
      </c>
      <c r="B57" s="80" t="s">
        <v>470</v>
      </c>
      <c r="C57" s="207">
        <f t="shared" si="34"/>
        <v>510</v>
      </c>
      <c r="D57" s="216"/>
      <c r="E57" s="207">
        <v>510</v>
      </c>
      <c r="F57" s="207">
        <f>SUM(G57:H57)</f>
        <v>509.98</v>
      </c>
      <c r="G57" s="207"/>
      <c r="H57" s="207">
        <v>509.98</v>
      </c>
      <c r="I57" s="211">
        <f t="shared" si="7"/>
        <v>0.99996078431372548</v>
      </c>
      <c r="J57" s="211"/>
      <c r="K57" s="211">
        <f>H57/E57</f>
        <v>0.99996078431372548</v>
      </c>
    </row>
    <row r="58" spans="1:11" ht="33">
      <c r="A58" s="81" t="s">
        <v>12</v>
      </c>
      <c r="B58" s="80" t="s">
        <v>471</v>
      </c>
      <c r="C58" s="207">
        <f t="shared" si="34"/>
        <v>500</v>
      </c>
      <c r="D58" s="216">
        <v>500</v>
      </c>
      <c r="E58" s="207"/>
      <c r="F58" s="207">
        <f>SUM(G58:H58)</f>
        <v>499.483676</v>
      </c>
      <c r="G58" s="207">
        <v>499.483676</v>
      </c>
      <c r="H58" s="207"/>
      <c r="I58" s="211">
        <f t="shared" si="7"/>
        <v>0.99896735199999998</v>
      </c>
      <c r="J58" s="211">
        <f t="shared" si="8"/>
        <v>0.99896735199999998</v>
      </c>
      <c r="K58" s="211"/>
    </row>
    <row r="59" spans="1:11" ht="33">
      <c r="A59" s="81" t="s">
        <v>12</v>
      </c>
      <c r="B59" s="80" t="s">
        <v>472</v>
      </c>
      <c r="C59" s="207">
        <f t="shared" si="34"/>
        <v>0</v>
      </c>
      <c r="D59" s="216"/>
      <c r="E59" s="207"/>
      <c r="F59" s="207">
        <f t="shared" ref="F59:F62" si="36">SUM(G59:H59)</f>
        <v>1519</v>
      </c>
      <c r="G59" s="207">
        <v>1519</v>
      </c>
      <c r="H59" s="207"/>
      <c r="I59" s="211"/>
      <c r="J59" s="211"/>
      <c r="K59" s="211"/>
    </row>
    <row r="60" spans="1:11" ht="66">
      <c r="A60" s="81" t="s">
        <v>12</v>
      </c>
      <c r="B60" s="80" t="s">
        <v>473</v>
      </c>
      <c r="C60" s="207">
        <f t="shared" si="34"/>
        <v>0</v>
      </c>
      <c r="D60" s="216"/>
      <c r="E60" s="207"/>
      <c r="F60" s="207">
        <f t="shared" si="36"/>
        <v>528.9375</v>
      </c>
      <c r="G60" s="207"/>
      <c r="H60" s="207">
        <v>528.9375</v>
      </c>
      <c r="I60" s="211"/>
      <c r="J60" s="211"/>
      <c r="K60" s="211"/>
    </row>
    <row r="61" spans="1:11" ht="49.5">
      <c r="A61" s="81" t="s">
        <v>12</v>
      </c>
      <c r="B61" s="80" t="s">
        <v>474</v>
      </c>
      <c r="C61" s="207">
        <f t="shared" si="34"/>
        <v>0</v>
      </c>
      <c r="D61" s="216"/>
      <c r="E61" s="207"/>
      <c r="F61" s="207">
        <f t="shared" si="36"/>
        <v>21.995999999999999</v>
      </c>
      <c r="G61" s="207"/>
      <c r="H61" s="207">
        <v>21.995999999999999</v>
      </c>
      <c r="I61" s="211"/>
      <c r="J61" s="211"/>
      <c r="K61" s="211"/>
    </row>
    <row r="62" spans="1:11" ht="33">
      <c r="A62" s="81" t="s">
        <v>12</v>
      </c>
      <c r="B62" s="80" t="s">
        <v>475</v>
      </c>
      <c r="C62" s="207">
        <f t="shared" si="34"/>
        <v>0</v>
      </c>
      <c r="D62" s="216"/>
      <c r="E62" s="207"/>
      <c r="F62" s="207">
        <f t="shared" si="36"/>
        <v>33</v>
      </c>
      <c r="G62" s="207"/>
      <c r="H62" s="207">
        <v>33</v>
      </c>
      <c r="I62" s="211"/>
      <c r="J62" s="211"/>
      <c r="K62" s="211"/>
    </row>
    <row r="63" spans="1:11">
      <c r="A63" s="136" t="s">
        <v>41</v>
      </c>
      <c r="B63" s="137" t="s">
        <v>42</v>
      </c>
      <c r="C63" s="205">
        <v>0</v>
      </c>
      <c r="D63" s="205">
        <v>0</v>
      </c>
      <c r="E63" s="205">
        <v>0</v>
      </c>
      <c r="F63" s="205">
        <f>SUM(G63:H63)</f>
        <v>134436.32114399999</v>
      </c>
      <c r="G63" s="205">
        <v>110247.698978</v>
      </c>
      <c r="H63" s="205">
        <v>24188.622166000001</v>
      </c>
      <c r="I63" s="211"/>
      <c r="J63" s="211"/>
      <c r="K63" s="211"/>
    </row>
    <row r="64" spans="1:11">
      <c r="A64" s="148" t="s">
        <v>158</v>
      </c>
      <c r="B64" s="149" t="s">
        <v>249</v>
      </c>
      <c r="C64" s="208">
        <v>0</v>
      </c>
      <c r="D64" s="208">
        <v>0</v>
      </c>
      <c r="E64" s="208">
        <v>0</v>
      </c>
      <c r="F64" s="208">
        <f>SUM(G64:H64)</f>
        <v>27670.354213999999</v>
      </c>
      <c r="G64" s="208">
        <v>27489.154213999998</v>
      </c>
      <c r="H64" s="208">
        <v>181.2</v>
      </c>
      <c r="I64" s="220"/>
      <c r="J64" s="220"/>
      <c r="K64" s="220"/>
    </row>
    <row r="65" spans="1:11" ht="9.75" customHeight="1">
      <c r="A65" s="130" t="s">
        <v>0</v>
      </c>
    </row>
    <row r="66" spans="1:11" ht="36" customHeight="1">
      <c r="A66" s="361" t="s">
        <v>405</v>
      </c>
      <c r="B66" s="361"/>
      <c r="C66" s="361"/>
      <c r="D66" s="361"/>
      <c r="E66" s="361"/>
      <c r="F66" s="361"/>
      <c r="G66" s="361"/>
      <c r="H66" s="361"/>
      <c r="I66" s="361"/>
      <c r="J66" s="361"/>
      <c r="K66" s="361"/>
    </row>
  </sheetData>
  <mergeCells count="11">
    <mergeCell ref="A66:K66"/>
    <mergeCell ref="A3:K3"/>
    <mergeCell ref="A4:K4"/>
    <mergeCell ref="A8:A9"/>
    <mergeCell ref="D8:E8"/>
    <mergeCell ref="G8:H8"/>
    <mergeCell ref="I8:K8"/>
    <mergeCell ref="B8:B9"/>
    <mergeCell ref="C8:C9"/>
    <mergeCell ref="F8:F9"/>
    <mergeCell ref="J6:K6"/>
  </mergeCells>
  <phoneticPr fontId="29" type="noConversion"/>
  <pageMargins left="0.68" right="0.28000000000000003" top="0.63" bottom="0.47" header="0.3" footer="0.2"/>
  <pageSetup paperSize="9" scale="71" fitToHeight="0" orientation="landscape" verticalDpi="0" r:id="rId1"/>
  <headerFooter>
    <oddFooter>&amp;C&amp;12&amp;P/&amp;N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5"/>
  <sheetViews>
    <sheetView showGridLines="0" showZeros="0" view="pageBreakPreview" topLeftCell="K1" zoomScale="118" zoomScaleNormal="110" zoomScaleSheetLayoutView="118" workbookViewId="0">
      <selection activeCell="K1" sqref="A1:XFD1048576"/>
    </sheetView>
  </sheetViews>
  <sheetFormatPr defaultRowHeight="15"/>
  <cols>
    <col min="1" max="1" width="5.7109375" style="161" customWidth="1"/>
    <col min="2" max="2" width="45" style="161" customWidth="1"/>
    <col min="3" max="13" width="12.7109375" style="161" customWidth="1"/>
    <col min="14" max="18" width="13.7109375" style="161" customWidth="1"/>
    <col min="19" max="19" width="9.7109375" style="161" customWidth="1"/>
    <col min="20" max="20" width="11" style="161" customWidth="1"/>
    <col min="21" max="21" width="12.28515625" style="161" customWidth="1"/>
    <col min="22" max="22" width="9.42578125" style="161" customWidth="1"/>
    <col min="23" max="24" width="9" style="161" customWidth="1"/>
    <col min="25" max="25" width="12" style="161" customWidth="1"/>
    <col min="26" max="16384" width="9.140625" style="161"/>
  </cols>
  <sheetData>
    <row r="1" spans="1:25">
      <c r="A1" s="166" t="s">
        <v>56</v>
      </c>
      <c r="B1" s="167"/>
      <c r="C1" s="167"/>
      <c r="D1" s="167"/>
      <c r="E1" s="167"/>
      <c r="F1" s="167"/>
      <c r="G1" s="167"/>
      <c r="H1" s="167"/>
      <c r="I1" s="167"/>
      <c r="J1" s="167"/>
      <c r="K1" s="167"/>
      <c r="L1" s="167"/>
      <c r="M1" s="167"/>
      <c r="N1" s="167"/>
      <c r="O1" s="167"/>
      <c r="P1" s="167"/>
      <c r="Q1" s="167"/>
      <c r="R1" s="167"/>
      <c r="S1" s="167"/>
      <c r="T1" s="167"/>
      <c r="U1" s="167"/>
      <c r="V1" s="167"/>
      <c r="W1" s="167"/>
      <c r="X1" s="167"/>
      <c r="Y1" s="167"/>
    </row>
    <row r="2" spans="1:25" ht="18.75">
      <c r="B2" s="258"/>
      <c r="C2" s="371" t="s">
        <v>482</v>
      </c>
      <c r="D2" s="371"/>
      <c r="E2" s="371"/>
      <c r="F2" s="371"/>
      <c r="G2" s="371"/>
      <c r="H2" s="371"/>
      <c r="I2" s="371"/>
      <c r="J2" s="371"/>
      <c r="K2" s="371"/>
      <c r="L2" s="371"/>
      <c r="M2" s="371"/>
      <c r="N2" s="257"/>
      <c r="O2" s="258"/>
      <c r="P2" s="258"/>
      <c r="Q2" s="258"/>
      <c r="R2" s="258"/>
      <c r="S2" s="258"/>
      <c r="T2" s="258"/>
      <c r="U2" s="258"/>
      <c r="V2" s="258"/>
      <c r="W2" s="258"/>
      <c r="X2" s="258"/>
      <c r="Y2" s="258"/>
    </row>
    <row r="3" spans="1:25" ht="18.75">
      <c r="B3" s="168"/>
      <c r="C3" s="359" t="s">
        <v>437</v>
      </c>
      <c r="D3" s="359"/>
      <c r="E3" s="359"/>
      <c r="F3" s="359"/>
      <c r="G3" s="359"/>
      <c r="H3" s="359"/>
      <c r="I3" s="359"/>
      <c r="J3" s="359"/>
      <c r="K3" s="359"/>
      <c r="L3" s="359"/>
      <c r="M3" s="359"/>
      <c r="N3" s="169"/>
      <c r="O3" s="168"/>
      <c r="P3" s="168"/>
      <c r="Q3" s="168"/>
      <c r="R3" s="168"/>
      <c r="S3" s="168"/>
      <c r="T3" s="168"/>
      <c r="U3" s="168"/>
      <c r="V3" s="168"/>
      <c r="W3" s="168"/>
      <c r="X3" s="168"/>
      <c r="Y3" s="168"/>
    </row>
    <row r="4" spans="1:25" ht="15.75">
      <c r="B4" s="170"/>
      <c r="C4" s="170"/>
      <c r="D4" s="170"/>
      <c r="E4" s="170"/>
      <c r="F4" s="170"/>
      <c r="G4" s="170"/>
      <c r="H4" s="170"/>
      <c r="I4" s="170"/>
      <c r="J4" s="170"/>
      <c r="K4" s="170"/>
      <c r="L4" s="170"/>
      <c r="M4" s="170"/>
      <c r="N4" s="170"/>
      <c r="O4" s="170"/>
      <c r="P4" s="170"/>
      <c r="Q4" s="170"/>
      <c r="R4" s="170"/>
      <c r="S4" s="170"/>
      <c r="T4" s="170"/>
      <c r="U4" s="170"/>
      <c r="V4" s="170"/>
      <c r="W4" s="170"/>
      <c r="X4" s="370" t="s">
        <v>440</v>
      </c>
      <c r="Y4" s="370"/>
    </row>
    <row r="5" spans="1:25" ht="22.5" customHeight="1">
      <c r="A5" s="366" t="s">
        <v>1</v>
      </c>
      <c r="B5" s="366" t="s">
        <v>57</v>
      </c>
      <c r="C5" s="366" t="s">
        <v>550</v>
      </c>
      <c r="D5" s="366"/>
      <c r="E5" s="366"/>
      <c r="F5" s="366"/>
      <c r="G5" s="366"/>
      <c r="H5" s="366"/>
      <c r="I5" s="366"/>
      <c r="J5" s="366"/>
      <c r="K5" s="372" t="s">
        <v>450</v>
      </c>
      <c r="L5" s="373"/>
      <c r="M5" s="374"/>
      <c r="N5" s="372" t="s">
        <v>450</v>
      </c>
      <c r="O5" s="373"/>
      <c r="P5" s="373"/>
      <c r="Q5" s="373"/>
      <c r="R5" s="374"/>
      <c r="S5" s="366" t="s">
        <v>5</v>
      </c>
      <c r="T5" s="366"/>
      <c r="U5" s="366"/>
      <c r="V5" s="366"/>
      <c r="W5" s="366"/>
      <c r="X5" s="366"/>
      <c r="Y5" s="366"/>
    </row>
    <row r="6" spans="1:25" ht="21.75" customHeight="1">
      <c r="A6" s="366"/>
      <c r="B6" s="366"/>
      <c r="C6" s="366" t="s">
        <v>58</v>
      </c>
      <c r="D6" s="366" t="s">
        <v>551</v>
      </c>
      <c r="E6" s="366" t="s">
        <v>552</v>
      </c>
      <c r="F6" s="367" t="s">
        <v>413</v>
      </c>
      <c r="G6" s="366" t="s">
        <v>59</v>
      </c>
      <c r="H6" s="366"/>
      <c r="I6" s="366"/>
      <c r="J6" s="366" t="s">
        <v>392</v>
      </c>
      <c r="K6" s="366" t="s">
        <v>58</v>
      </c>
      <c r="L6" s="366" t="s">
        <v>553</v>
      </c>
      <c r="M6" s="366" t="s">
        <v>554</v>
      </c>
      <c r="N6" s="367" t="s">
        <v>430</v>
      </c>
      <c r="O6" s="366" t="s">
        <v>59</v>
      </c>
      <c r="P6" s="366"/>
      <c r="Q6" s="366"/>
      <c r="R6" s="366" t="s">
        <v>60</v>
      </c>
      <c r="S6" s="366" t="s">
        <v>58</v>
      </c>
      <c r="T6" s="366" t="s">
        <v>553</v>
      </c>
      <c r="U6" s="366" t="s">
        <v>554</v>
      </c>
      <c r="V6" s="366" t="s">
        <v>59</v>
      </c>
      <c r="W6" s="366"/>
      <c r="X6" s="366"/>
      <c r="Y6" s="366" t="s">
        <v>378</v>
      </c>
    </row>
    <row r="7" spans="1:25">
      <c r="A7" s="366"/>
      <c r="B7" s="366"/>
      <c r="C7" s="366"/>
      <c r="D7" s="366"/>
      <c r="E7" s="366"/>
      <c r="F7" s="368"/>
      <c r="G7" s="366" t="s">
        <v>58</v>
      </c>
      <c r="H7" s="366" t="s">
        <v>9</v>
      </c>
      <c r="I7" s="366" t="s">
        <v>17</v>
      </c>
      <c r="J7" s="366"/>
      <c r="K7" s="366"/>
      <c r="L7" s="366"/>
      <c r="M7" s="366"/>
      <c r="N7" s="368"/>
      <c r="O7" s="366" t="s">
        <v>58</v>
      </c>
      <c r="P7" s="366" t="s">
        <v>9</v>
      </c>
      <c r="Q7" s="366" t="s">
        <v>17</v>
      </c>
      <c r="R7" s="366"/>
      <c r="S7" s="366"/>
      <c r="T7" s="366"/>
      <c r="U7" s="366"/>
      <c r="V7" s="366" t="s">
        <v>58</v>
      </c>
      <c r="W7" s="366" t="s">
        <v>9</v>
      </c>
      <c r="X7" s="366" t="s">
        <v>17</v>
      </c>
      <c r="Y7" s="366"/>
    </row>
    <row r="8" spans="1:25" ht="51.75" customHeight="1">
      <c r="A8" s="366"/>
      <c r="B8" s="366"/>
      <c r="C8" s="366"/>
      <c r="D8" s="366"/>
      <c r="E8" s="366"/>
      <c r="F8" s="369"/>
      <c r="G8" s="366"/>
      <c r="H8" s="366"/>
      <c r="I8" s="366"/>
      <c r="J8" s="366"/>
      <c r="K8" s="366"/>
      <c r="L8" s="366"/>
      <c r="M8" s="366"/>
      <c r="N8" s="369"/>
      <c r="O8" s="366"/>
      <c r="P8" s="366"/>
      <c r="Q8" s="366"/>
      <c r="R8" s="366"/>
      <c r="S8" s="366"/>
      <c r="T8" s="366"/>
      <c r="U8" s="366"/>
      <c r="V8" s="366"/>
      <c r="W8" s="366"/>
      <c r="X8" s="366"/>
      <c r="Y8" s="366"/>
    </row>
    <row r="9" spans="1:25">
      <c r="A9" s="308" t="s">
        <v>6</v>
      </c>
      <c r="B9" s="308" t="s">
        <v>23</v>
      </c>
      <c r="C9" s="308" t="s">
        <v>10</v>
      </c>
      <c r="D9" s="308" t="s">
        <v>18</v>
      </c>
      <c r="E9" s="308" t="s">
        <v>27</v>
      </c>
      <c r="F9" s="308" t="s">
        <v>28</v>
      </c>
      <c r="G9" s="308" t="s">
        <v>29</v>
      </c>
      <c r="H9" s="308" t="s">
        <v>30</v>
      </c>
      <c r="I9" s="308" t="s">
        <v>31</v>
      </c>
      <c r="J9" s="308" t="s">
        <v>32</v>
      </c>
      <c r="K9" s="308" t="s">
        <v>33</v>
      </c>
      <c r="L9" s="308" t="s">
        <v>34</v>
      </c>
      <c r="M9" s="308" t="s">
        <v>35</v>
      </c>
      <c r="N9" s="308" t="s">
        <v>36</v>
      </c>
      <c r="O9" s="308" t="s">
        <v>37</v>
      </c>
      <c r="P9" s="308" t="s">
        <v>38</v>
      </c>
      <c r="Q9" s="308" t="s">
        <v>39</v>
      </c>
      <c r="R9" s="308" t="s">
        <v>40</v>
      </c>
      <c r="S9" s="308" t="s">
        <v>61</v>
      </c>
      <c r="T9" s="308" t="s">
        <v>62</v>
      </c>
      <c r="U9" s="308" t="s">
        <v>63</v>
      </c>
      <c r="V9" s="308" t="s">
        <v>64</v>
      </c>
      <c r="W9" s="308" t="s">
        <v>65</v>
      </c>
      <c r="X9" s="308" t="s">
        <v>66</v>
      </c>
      <c r="Y9" s="308" t="s">
        <v>67</v>
      </c>
    </row>
    <row r="10" spans="1:25" s="162" customFormat="1" ht="25.5" customHeight="1">
      <c r="A10" s="309"/>
      <c r="B10" s="310" t="s">
        <v>100</v>
      </c>
      <c r="C10" s="311">
        <f t="shared" ref="C10:J10" si="0">C11+C111+C112+C113+C114</f>
        <v>514693.30162400007</v>
      </c>
      <c r="D10" s="311">
        <f t="shared" si="0"/>
        <v>32604.599999999995</v>
      </c>
      <c r="E10" s="311">
        <f t="shared" si="0"/>
        <v>314071.94626800012</v>
      </c>
      <c r="F10" s="311">
        <f t="shared" si="0"/>
        <v>74981</v>
      </c>
      <c r="G10" s="311">
        <f t="shared" si="0"/>
        <v>71582</v>
      </c>
      <c r="H10" s="311">
        <f t="shared" si="0"/>
        <v>64944</v>
      </c>
      <c r="I10" s="311">
        <f t="shared" si="0"/>
        <v>6638</v>
      </c>
      <c r="J10" s="311">
        <f t="shared" si="0"/>
        <v>21453.755356000001</v>
      </c>
      <c r="K10" s="311">
        <f t="shared" ref="K10:R10" si="1">K11+K111+K112+K113+K114+K115</f>
        <v>589084.19732000004</v>
      </c>
      <c r="L10" s="311">
        <f t="shared" si="1"/>
        <v>38316.86262700001</v>
      </c>
      <c r="M10" s="311">
        <f t="shared" si="1"/>
        <v>302090.487662</v>
      </c>
      <c r="N10" s="311">
        <f t="shared" si="1"/>
        <v>116363.96532599999</v>
      </c>
      <c r="O10" s="311">
        <f t="shared" si="1"/>
        <v>22065.182726999999</v>
      </c>
      <c r="P10" s="311">
        <f t="shared" si="1"/>
        <v>20007.132067999999</v>
      </c>
      <c r="Q10" s="311">
        <f t="shared" si="1"/>
        <v>2058.050659</v>
      </c>
      <c r="R10" s="311">
        <f t="shared" si="1"/>
        <v>110247.69897799997</v>
      </c>
      <c r="S10" s="312">
        <f t="shared" ref="S10:S11" si="2">K10/C10</f>
        <v>1.1445344158575137</v>
      </c>
      <c r="T10" s="312">
        <f t="shared" ref="T10:T11" si="3">L10/D10</f>
        <v>1.1751980587708488</v>
      </c>
      <c r="U10" s="312">
        <f t="shared" ref="U10:U11" si="4">M10/E10</f>
        <v>0.96185122947664914</v>
      </c>
      <c r="V10" s="312">
        <f>O10/G10</f>
        <v>0.30825043624095444</v>
      </c>
      <c r="W10" s="312">
        <f>P10/H10</f>
        <v>0.30806744376693768</v>
      </c>
      <c r="X10" s="312">
        <f t="shared" ref="X10" si="5">Q10/I10</f>
        <v>0.31004077417896958</v>
      </c>
      <c r="Y10" s="312">
        <f t="shared" ref="Y10:Y11" si="6">R10/J10</f>
        <v>5.1388531820452048</v>
      </c>
    </row>
    <row r="11" spans="1:25" s="162" customFormat="1" ht="15.95" customHeight="1">
      <c r="A11" s="313" t="s">
        <v>8</v>
      </c>
      <c r="B11" s="314" t="s">
        <v>72</v>
      </c>
      <c r="C11" s="315">
        <f>SUM(C12:C110)</f>
        <v>433683.30162400007</v>
      </c>
      <c r="D11" s="315">
        <f t="shared" ref="D11:Q11" si="7">SUM(D12:D110)</f>
        <v>32604.599999999995</v>
      </c>
      <c r="E11" s="315">
        <f t="shared" si="7"/>
        <v>308042.94626800012</v>
      </c>
      <c r="F11" s="315">
        <f t="shared" si="7"/>
        <v>0</v>
      </c>
      <c r="G11" s="315">
        <f t="shared" si="7"/>
        <v>71582</v>
      </c>
      <c r="H11" s="315">
        <f t="shared" si="7"/>
        <v>64944</v>
      </c>
      <c r="I11" s="315">
        <f t="shared" si="7"/>
        <v>6638</v>
      </c>
      <c r="J11" s="315">
        <f t="shared" si="7"/>
        <v>21453.755356000001</v>
      </c>
      <c r="K11" s="315">
        <f t="shared" si="7"/>
        <v>426042.50396200002</v>
      </c>
      <c r="L11" s="315">
        <f t="shared" si="7"/>
        <v>38316.86262700001</v>
      </c>
      <c r="M11" s="315">
        <f t="shared" si="7"/>
        <v>302090.487662</v>
      </c>
      <c r="N11" s="315">
        <f t="shared" si="7"/>
        <v>0</v>
      </c>
      <c r="O11" s="315">
        <f t="shared" si="7"/>
        <v>22065.182726999999</v>
      </c>
      <c r="P11" s="315">
        <f t="shared" si="7"/>
        <v>20007.132067999999</v>
      </c>
      <c r="Q11" s="315">
        <f t="shared" si="7"/>
        <v>2058.050659</v>
      </c>
      <c r="R11" s="315">
        <f>SUM(R12:R110)</f>
        <v>63569.970945999972</v>
      </c>
      <c r="S11" s="316">
        <f t="shared" si="2"/>
        <v>0.98238161895238341</v>
      </c>
      <c r="T11" s="316">
        <f t="shared" si="3"/>
        <v>1.1751980587708488</v>
      </c>
      <c r="U11" s="316">
        <f t="shared" si="4"/>
        <v>0.98067653008090172</v>
      </c>
      <c r="V11" s="316">
        <f t="shared" ref="V11" si="8">O11/G11</f>
        <v>0.30825043624095444</v>
      </c>
      <c r="W11" s="316">
        <f t="shared" ref="W11" si="9">P11/H11</f>
        <v>0.30806744376693768</v>
      </c>
      <c r="X11" s="316">
        <f t="shared" ref="X11" si="10">Q11/I11</f>
        <v>0.31004077417896958</v>
      </c>
      <c r="Y11" s="316">
        <f t="shared" si="6"/>
        <v>2.9631162419413566</v>
      </c>
    </row>
    <row r="12" spans="1:25" ht="15.95" customHeight="1">
      <c r="A12" s="317" t="s">
        <v>10</v>
      </c>
      <c r="B12" s="318" t="s">
        <v>391</v>
      </c>
      <c r="C12" s="319">
        <f>D12+E12+F12+G12+J12</f>
        <v>7365.7476780000006</v>
      </c>
      <c r="D12" s="319"/>
      <c r="E12" s="319">
        <v>7067.6339150000003</v>
      </c>
      <c r="F12" s="319"/>
      <c r="G12" s="319">
        <f t="shared" ref="G12:G77" si="11">SUM(H12:I12)</f>
        <v>0</v>
      </c>
      <c r="H12" s="319"/>
      <c r="I12" s="319"/>
      <c r="J12" s="319">
        <v>298.11376300000001</v>
      </c>
      <c r="K12" s="319">
        <f>L12+M12+O12+R12</f>
        <v>7102.5405209999999</v>
      </c>
      <c r="L12" s="319"/>
      <c r="M12" s="319">
        <v>7102.540379</v>
      </c>
      <c r="N12" s="319"/>
      <c r="O12" s="319">
        <f>P12+Q12</f>
        <v>0</v>
      </c>
      <c r="P12" s="319"/>
      <c r="Q12" s="319"/>
      <c r="R12" s="319">
        <v>1.4200000000000001E-4</v>
      </c>
      <c r="S12" s="320">
        <f t="shared" ref="S12:S43" si="12">K12/C12</f>
        <v>0.9642660638802294</v>
      </c>
      <c r="T12" s="320"/>
      <c r="U12" s="320">
        <f t="shared" ref="U12:U43" si="13">M12/E12</f>
        <v>1.0049389179490347</v>
      </c>
      <c r="V12" s="320"/>
      <c r="W12" s="320"/>
      <c r="X12" s="320"/>
      <c r="Y12" s="320">
        <f t="shared" ref="Y12:Y75" si="14">R12/J12</f>
        <v>4.7632822641603437E-7</v>
      </c>
    </row>
    <row r="13" spans="1:25" ht="15.95" customHeight="1">
      <c r="A13" s="317" t="s">
        <v>18</v>
      </c>
      <c r="B13" s="318" t="s">
        <v>73</v>
      </c>
      <c r="C13" s="319">
        <f t="shared" ref="C13:C78" si="15">D13+E13+F13+G13+J13</f>
        <v>10869.094829</v>
      </c>
      <c r="D13" s="319">
        <v>2059</v>
      </c>
      <c r="E13" s="319">
        <v>6039.8945430000003</v>
      </c>
      <c r="F13" s="319"/>
      <c r="G13" s="319">
        <f t="shared" si="11"/>
        <v>1896</v>
      </c>
      <c r="H13" s="319"/>
      <c r="I13" s="319">
        <v>1896</v>
      </c>
      <c r="J13" s="319">
        <f>834.7+39.500286</f>
        <v>874.20028600000001</v>
      </c>
      <c r="K13" s="319">
        <f>L13+M13+O13+R13</f>
        <v>10244.815549000001</v>
      </c>
      <c r="L13" s="319">
        <v>2390.8249999999998</v>
      </c>
      <c r="M13" s="319">
        <v>5547.9503080000004</v>
      </c>
      <c r="N13" s="319"/>
      <c r="O13" s="319">
        <f t="shared" ref="O13:O73" si="16">P13+Q13</f>
        <v>255.87181000000001</v>
      </c>
      <c r="P13" s="319"/>
      <c r="Q13" s="319">
        <v>255.87181000000001</v>
      </c>
      <c r="R13" s="319">
        <f>3.365241+1640.12819+406.675</f>
        <v>2050.1684310000001</v>
      </c>
      <c r="S13" s="320">
        <f t="shared" si="12"/>
        <v>0.94256382064729538</v>
      </c>
      <c r="T13" s="320">
        <f t="shared" ref="T13:T27" si="17">L13/D13</f>
        <v>1.161158329286061</v>
      </c>
      <c r="U13" s="320">
        <f t="shared" si="13"/>
        <v>0.91855085689035021</v>
      </c>
      <c r="V13" s="320">
        <f t="shared" ref="V13:V52" si="18">O13/G13</f>
        <v>0.13495348628691983</v>
      </c>
      <c r="W13" s="320"/>
      <c r="X13" s="320">
        <f t="shared" ref="X13:X52" si="19">Q13/I13</f>
        <v>0.13495348628691983</v>
      </c>
      <c r="Y13" s="320">
        <f t="shared" si="14"/>
        <v>2.3451930453841103</v>
      </c>
    </row>
    <row r="14" spans="1:25" ht="15.95" customHeight="1">
      <c r="A14" s="317" t="s">
        <v>27</v>
      </c>
      <c r="B14" s="318" t="s">
        <v>254</v>
      </c>
      <c r="C14" s="319">
        <f t="shared" si="15"/>
        <v>73731.851188000001</v>
      </c>
      <c r="D14" s="319">
        <v>23980</v>
      </c>
      <c r="E14" s="319">
        <f>10947-147</f>
        <v>10800</v>
      </c>
      <c r="F14" s="319"/>
      <c r="G14" s="319">
        <f t="shared" si="11"/>
        <v>28945</v>
      </c>
      <c r="H14" s="319">
        <v>28798</v>
      </c>
      <c r="I14" s="319">
        <v>147</v>
      </c>
      <c r="J14" s="319">
        <v>10006.851188000001</v>
      </c>
      <c r="K14" s="319">
        <f t="shared" ref="K14:K57" si="20">L14+M14+O14+R14</f>
        <v>73721.605188000001</v>
      </c>
      <c r="L14" s="319">
        <v>30745.441706000001</v>
      </c>
      <c r="M14" s="319">
        <v>10789.754000000001</v>
      </c>
      <c r="N14" s="319"/>
      <c r="O14" s="319">
        <f t="shared" si="16"/>
        <v>8898.4349829999992</v>
      </c>
      <c r="P14" s="319">
        <v>8898.4349829999992</v>
      </c>
      <c r="Q14" s="319"/>
      <c r="R14" s="319">
        <f>147+23140.974499</f>
        <v>23287.974499</v>
      </c>
      <c r="S14" s="320">
        <f t="shared" si="12"/>
        <v>0.99986103698964679</v>
      </c>
      <c r="T14" s="320">
        <f t="shared" si="17"/>
        <v>1.2821285115095913</v>
      </c>
      <c r="U14" s="320">
        <f t="shared" si="13"/>
        <v>0.99905129629629641</v>
      </c>
      <c r="V14" s="320">
        <f t="shared" si="18"/>
        <v>0.30742563423734665</v>
      </c>
      <c r="W14" s="320">
        <f t="shared" ref="W14:W26" si="21">P14/H14</f>
        <v>0.30899489488853388</v>
      </c>
      <c r="X14" s="320">
        <f t="shared" si="19"/>
        <v>0</v>
      </c>
      <c r="Y14" s="320">
        <f t="shared" si="14"/>
        <v>2.3272030393463266</v>
      </c>
    </row>
    <row r="15" spans="1:25" ht="15.95" customHeight="1">
      <c r="A15" s="317" t="s">
        <v>28</v>
      </c>
      <c r="B15" s="318" t="s">
        <v>77</v>
      </c>
      <c r="C15" s="319">
        <f t="shared" si="15"/>
        <v>26760.799999999999</v>
      </c>
      <c r="D15" s="319"/>
      <c r="E15" s="319">
        <v>26588.042286</v>
      </c>
      <c r="F15" s="319"/>
      <c r="G15" s="319">
        <f t="shared" si="11"/>
        <v>106</v>
      </c>
      <c r="H15" s="319"/>
      <c r="I15" s="319">
        <v>106</v>
      </c>
      <c r="J15" s="319">
        <v>66.757714000000007</v>
      </c>
      <c r="K15" s="319">
        <f t="shared" si="20"/>
        <v>24688.14099</v>
      </c>
      <c r="L15" s="319"/>
      <c r="M15" s="319">
        <v>24582.14099</v>
      </c>
      <c r="N15" s="319"/>
      <c r="O15" s="319">
        <f t="shared" si="16"/>
        <v>0</v>
      </c>
      <c r="P15" s="319"/>
      <c r="Q15" s="319"/>
      <c r="R15" s="319">
        <v>106</v>
      </c>
      <c r="S15" s="320">
        <f t="shared" si="12"/>
        <v>0.92254869024842312</v>
      </c>
      <c r="T15" s="320"/>
      <c r="U15" s="320">
        <f t="shared" si="13"/>
        <v>0.92455626200593899</v>
      </c>
      <c r="V15" s="320">
        <f t="shared" si="18"/>
        <v>0</v>
      </c>
      <c r="W15" s="320"/>
      <c r="X15" s="320">
        <f t="shared" si="19"/>
        <v>0</v>
      </c>
      <c r="Y15" s="320">
        <f t="shared" si="14"/>
        <v>1.5878314826658082</v>
      </c>
    </row>
    <row r="16" spans="1:25" ht="15.95" customHeight="1">
      <c r="A16" s="317" t="s">
        <v>29</v>
      </c>
      <c r="B16" s="318" t="s">
        <v>74</v>
      </c>
      <c r="C16" s="319">
        <f t="shared" si="15"/>
        <v>743.03463599999998</v>
      </c>
      <c r="D16" s="319"/>
      <c r="E16" s="319">
        <v>737.80313100000001</v>
      </c>
      <c r="F16" s="319"/>
      <c r="G16" s="319">
        <f t="shared" si="11"/>
        <v>0</v>
      </c>
      <c r="H16" s="319"/>
      <c r="I16" s="319"/>
      <c r="J16" s="319">
        <v>5.2315050000000003</v>
      </c>
      <c r="K16" s="319">
        <f t="shared" si="20"/>
        <v>742.634636</v>
      </c>
      <c r="L16" s="319"/>
      <c r="M16" s="319">
        <v>733.94501200000002</v>
      </c>
      <c r="N16" s="319"/>
      <c r="O16" s="319">
        <f t="shared" si="16"/>
        <v>0</v>
      </c>
      <c r="P16" s="319"/>
      <c r="Q16" s="319"/>
      <c r="R16" s="319">
        <v>8.6896240000000002</v>
      </c>
      <c r="S16" s="320">
        <f t="shared" si="12"/>
        <v>0.99946166708707773</v>
      </c>
      <c r="T16" s="320"/>
      <c r="U16" s="320">
        <f t="shared" si="13"/>
        <v>0.99477080153513198</v>
      </c>
      <c r="V16" s="320"/>
      <c r="W16" s="320"/>
      <c r="X16" s="320"/>
      <c r="Y16" s="320">
        <f t="shared" si="14"/>
        <v>1.6610180053349848</v>
      </c>
    </row>
    <row r="17" spans="1:25" ht="15.95" customHeight="1">
      <c r="A17" s="317" t="s">
        <v>30</v>
      </c>
      <c r="B17" s="318" t="s">
        <v>75</v>
      </c>
      <c r="C17" s="319">
        <f t="shared" si="15"/>
        <v>1704</v>
      </c>
      <c r="D17" s="319"/>
      <c r="E17" s="319">
        <v>1704</v>
      </c>
      <c r="F17" s="319"/>
      <c r="G17" s="319">
        <f t="shared" si="11"/>
        <v>0</v>
      </c>
      <c r="H17" s="319"/>
      <c r="I17" s="319"/>
      <c r="J17" s="319"/>
      <c r="K17" s="319">
        <f t="shared" si="20"/>
        <v>1693.6</v>
      </c>
      <c r="L17" s="319"/>
      <c r="M17" s="319">
        <v>1693.6</v>
      </c>
      <c r="N17" s="319"/>
      <c r="O17" s="319">
        <f t="shared" si="16"/>
        <v>0</v>
      </c>
      <c r="P17" s="319"/>
      <c r="Q17" s="319"/>
      <c r="R17" s="319"/>
      <c r="S17" s="320">
        <f t="shared" si="12"/>
        <v>0.99389671361502341</v>
      </c>
      <c r="T17" s="320"/>
      <c r="U17" s="320">
        <f t="shared" si="13"/>
        <v>0.99389671361502341</v>
      </c>
      <c r="V17" s="320"/>
      <c r="W17" s="320"/>
      <c r="X17" s="320"/>
      <c r="Y17" s="320"/>
    </row>
    <row r="18" spans="1:25" ht="15.95" customHeight="1">
      <c r="A18" s="317" t="s">
        <v>31</v>
      </c>
      <c r="B18" s="318" t="s">
        <v>76</v>
      </c>
      <c r="C18" s="319">
        <f t="shared" si="15"/>
        <v>7492</v>
      </c>
      <c r="D18" s="319">
        <v>600</v>
      </c>
      <c r="E18" s="319">
        <v>6859.7595300000003</v>
      </c>
      <c r="F18" s="319"/>
      <c r="G18" s="319">
        <f t="shared" si="11"/>
        <v>0</v>
      </c>
      <c r="H18" s="319"/>
      <c r="I18" s="319"/>
      <c r="J18" s="319">
        <v>32.240470000000002</v>
      </c>
      <c r="K18" s="319">
        <f t="shared" si="20"/>
        <v>7377.8376870000002</v>
      </c>
      <c r="L18" s="319">
        <v>576.13300000000004</v>
      </c>
      <c r="M18" s="319">
        <v>6798.5880440000001</v>
      </c>
      <c r="N18" s="319"/>
      <c r="O18" s="319">
        <f t="shared" si="16"/>
        <v>0</v>
      </c>
      <c r="P18" s="319"/>
      <c r="Q18" s="319"/>
      <c r="R18" s="319">
        <v>3.1166429999999998</v>
      </c>
      <c r="S18" s="320">
        <f t="shared" si="12"/>
        <v>0.98476210451147894</v>
      </c>
      <c r="T18" s="320">
        <f t="shared" si="17"/>
        <v>0.96022166666666675</v>
      </c>
      <c r="U18" s="320">
        <f t="shared" si="13"/>
        <v>0.99108256116960414</v>
      </c>
      <c r="V18" s="320"/>
      <c r="W18" s="320"/>
      <c r="X18" s="320"/>
      <c r="Y18" s="320">
        <f t="shared" si="14"/>
        <v>9.6668658986671083E-2</v>
      </c>
    </row>
    <row r="19" spans="1:25" ht="15.95" customHeight="1">
      <c r="A19" s="317" t="s">
        <v>32</v>
      </c>
      <c r="B19" s="318" t="s">
        <v>78</v>
      </c>
      <c r="C19" s="319">
        <f t="shared" si="15"/>
        <v>578.28688200000011</v>
      </c>
      <c r="D19" s="319"/>
      <c r="E19" s="319">
        <v>576.27596100000005</v>
      </c>
      <c r="F19" s="319"/>
      <c r="G19" s="319">
        <f t="shared" si="11"/>
        <v>0</v>
      </c>
      <c r="H19" s="319"/>
      <c r="I19" s="319"/>
      <c r="J19" s="319">
        <v>2.0109210000000002</v>
      </c>
      <c r="K19" s="319">
        <f t="shared" si="20"/>
        <v>577.88688200000001</v>
      </c>
      <c r="L19" s="319"/>
      <c r="M19" s="319">
        <v>577.68928500000004</v>
      </c>
      <c r="N19" s="319"/>
      <c r="O19" s="319">
        <f t="shared" si="16"/>
        <v>0</v>
      </c>
      <c r="P19" s="319"/>
      <c r="Q19" s="319"/>
      <c r="R19" s="319">
        <v>0.19759699999999999</v>
      </c>
      <c r="S19" s="320">
        <f t="shared" si="12"/>
        <v>0.99930830179198138</v>
      </c>
      <c r="T19" s="320"/>
      <c r="U19" s="320">
        <f t="shared" si="13"/>
        <v>1.0024525125038142</v>
      </c>
      <c r="V19" s="320"/>
      <c r="W19" s="320"/>
      <c r="X19" s="320"/>
      <c r="Y19" s="320">
        <f t="shared" si="14"/>
        <v>9.8261940672955322E-2</v>
      </c>
    </row>
    <row r="20" spans="1:25" ht="15.95" customHeight="1">
      <c r="A20" s="317" t="s">
        <v>33</v>
      </c>
      <c r="B20" s="318" t="s">
        <v>79</v>
      </c>
      <c r="C20" s="319">
        <f t="shared" si="15"/>
        <v>15267.28124</v>
      </c>
      <c r="D20" s="319"/>
      <c r="E20" s="319">
        <v>14371.123269</v>
      </c>
      <c r="F20" s="319"/>
      <c r="G20" s="319">
        <f t="shared" si="11"/>
        <v>874</v>
      </c>
      <c r="H20" s="319"/>
      <c r="I20" s="319">
        <v>874</v>
      </c>
      <c r="J20" s="319">
        <v>22.157971</v>
      </c>
      <c r="K20" s="319">
        <f t="shared" si="20"/>
        <v>13186.11742</v>
      </c>
      <c r="L20" s="319"/>
      <c r="M20" s="319">
        <v>12312.11742</v>
      </c>
      <c r="N20" s="319"/>
      <c r="O20" s="319">
        <f t="shared" si="16"/>
        <v>648.71504900000002</v>
      </c>
      <c r="P20" s="319"/>
      <c r="Q20" s="319">
        <v>648.71504900000002</v>
      </c>
      <c r="R20" s="321">
        <v>225.28495100000001</v>
      </c>
      <c r="S20" s="320">
        <f t="shared" si="12"/>
        <v>0.86368471325808893</v>
      </c>
      <c r="T20" s="320"/>
      <c r="U20" s="320">
        <f t="shared" si="13"/>
        <v>0.85672617161099107</v>
      </c>
      <c r="V20" s="320">
        <f t="shared" si="18"/>
        <v>0.74223689816933636</v>
      </c>
      <c r="W20" s="320"/>
      <c r="X20" s="320">
        <f t="shared" si="19"/>
        <v>0.74223689816933636</v>
      </c>
      <c r="Y20" s="320">
        <f t="shared" si="14"/>
        <v>10.167219327076474</v>
      </c>
    </row>
    <row r="21" spans="1:25" ht="15.95" customHeight="1">
      <c r="A21" s="317" t="s">
        <v>34</v>
      </c>
      <c r="B21" s="318" t="s">
        <v>80</v>
      </c>
      <c r="C21" s="319">
        <f t="shared" si="15"/>
        <v>1635.80233</v>
      </c>
      <c r="D21" s="319"/>
      <c r="E21" s="319">
        <v>937.80232999999998</v>
      </c>
      <c r="F21" s="319"/>
      <c r="G21" s="319">
        <f t="shared" si="11"/>
        <v>698</v>
      </c>
      <c r="H21" s="319">
        <v>629</v>
      </c>
      <c r="I21" s="319">
        <v>69</v>
      </c>
      <c r="J21" s="319"/>
      <c r="K21" s="319">
        <f t="shared" si="20"/>
        <v>1635.8021020000001</v>
      </c>
      <c r="L21" s="319"/>
      <c r="M21" s="319">
        <v>937.80210199999999</v>
      </c>
      <c r="N21" s="319"/>
      <c r="O21" s="319">
        <f t="shared" si="16"/>
        <v>31</v>
      </c>
      <c r="P21" s="319"/>
      <c r="Q21" s="319">
        <v>31</v>
      </c>
      <c r="R21" s="319">
        <f>38+629</f>
        <v>667</v>
      </c>
      <c r="S21" s="320">
        <f t="shared" si="12"/>
        <v>0.99999986061885615</v>
      </c>
      <c r="T21" s="320"/>
      <c r="U21" s="320">
        <f t="shared" si="13"/>
        <v>0.99999975687840315</v>
      </c>
      <c r="V21" s="320">
        <f t="shared" si="18"/>
        <v>4.4412607449856735E-2</v>
      </c>
      <c r="W21" s="320">
        <f t="shared" si="21"/>
        <v>0</v>
      </c>
      <c r="X21" s="320">
        <f t="shared" si="19"/>
        <v>0.44927536231884058</v>
      </c>
      <c r="Y21" s="320"/>
    </row>
    <row r="22" spans="1:25" ht="15.95" customHeight="1">
      <c r="A22" s="317" t="s">
        <v>35</v>
      </c>
      <c r="B22" s="318" t="s">
        <v>81</v>
      </c>
      <c r="C22" s="319">
        <f t="shared" si="15"/>
        <v>3603.4718399999997</v>
      </c>
      <c r="D22" s="319"/>
      <c r="E22" s="319">
        <v>3597.5424119999998</v>
      </c>
      <c r="F22" s="319"/>
      <c r="G22" s="319">
        <f t="shared" si="11"/>
        <v>0</v>
      </c>
      <c r="H22" s="319"/>
      <c r="I22" s="319"/>
      <c r="J22" s="319">
        <v>5.9294279999999997</v>
      </c>
      <c r="K22" s="319">
        <f t="shared" si="20"/>
        <v>3402.4226020000001</v>
      </c>
      <c r="L22" s="319"/>
      <c r="M22" s="319">
        <v>3402.4226020000001</v>
      </c>
      <c r="N22" s="319"/>
      <c r="O22" s="319">
        <f t="shared" si="16"/>
        <v>0</v>
      </c>
      <c r="P22" s="319"/>
      <c r="Q22" s="319"/>
      <c r="R22" s="319"/>
      <c r="S22" s="320">
        <f t="shared" si="12"/>
        <v>0.94420679640998673</v>
      </c>
      <c r="T22" s="320"/>
      <c r="U22" s="320">
        <f t="shared" si="13"/>
        <v>0.94576302718512617</v>
      </c>
      <c r="V22" s="320"/>
      <c r="W22" s="320"/>
      <c r="X22" s="320"/>
      <c r="Y22" s="320">
        <f t="shared" si="14"/>
        <v>0</v>
      </c>
    </row>
    <row r="23" spans="1:25" ht="15.95" customHeight="1">
      <c r="A23" s="317" t="s">
        <v>36</v>
      </c>
      <c r="B23" s="318" t="s">
        <v>82</v>
      </c>
      <c r="C23" s="319">
        <f t="shared" si="15"/>
        <v>2974.00155</v>
      </c>
      <c r="D23" s="319"/>
      <c r="E23" s="319">
        <v>2927.262232</v>
      </c>
      <c r="F23" s="319"/>
      <c r="G23" s="319">
        <f t="shared" si="11"/>
        <v>0</v>
      </c>
      <c r="H23" s="319"/>
      <c r="I23" s="319"/>
      <c r="J23" s="319">
        <v>46.739317999999997</v>
      </c>
      <c r="K23" s="319">
        <f t="shared" si="20"/>
        <v>2719.69355</v>
      </c>
      <c r="L23" s="319"/>
      <c r="M23" s="319">
        <v>2713.436436</v>
      </c>
      <c r="N23" s="319"/>
      <c r="O23" s="319">
        <f t="shared" si="16"/>
        <v>0</v>
      </c>
      <c r="P23" s="319"/>
      <c r="Q23" s="319"/>
      <c r="R23" s="319">
        <v>6.2571139999999996</v>
      </c>
      <c r="S23" s="320">
        <f t="shared" si="12"/>
        <v>0.91448962089478403</v>
      </c>
      <c r="T23" s="320"/>
      <c r="U23" s="320">
        <f t="shared" si="13"/>
        <v>0.92695365872503077</v>
      </c>
      <c r="V23" s="320"/>
      <c r="W23" s="320"/>
      <c r="X23" s="320"/>
      <c r="Y23" s="320">
        <f t="shared" si="14"/>
        <v>0.1338725995103309</v>
      </c>
    </row>
    <row r="24" spans="1:25" ht="15.95" customHeight="1">
      <c r="A24" s="317" t="s">
        <v>37</v>
      </c>
      <c r="B24" s="318" t="s">
        <v>83</v>
      </c>
      <c r="C24" s="319">
        <f t="shared" si="15"/>
        <v>854.07968100000005</v>
      </c>
      <c r="D24" s="319"/>
      <c r="E24" s="319">
        <v>825.31171200000006</v>
      </c>
      <c r="F24" s="319"/>
      <c r="G24" s="319">
        <f t="shared" si="11"/>
        <v>0</v>
      </c>
      <c r="H24" s="319"/>
      <c r="I24" s="319"/>
      <c r="J24" s="319">
        <v>28.767969000000001</v>
      </c>
      <c r="K24" s="319">
        <f t="shared" si="20"/>
        <v>853.67968100000007</v>
      </c>
      <c r="L24" s="319"/>
      <c r="M24" s="319">
        <v>848.73269400000004</v>
      </c>
      <c r="N24" s="319"/>
      <c r="O24" s="319">
        <f t="shared" si="16"/>
        <v>0</v>
      </c>
      <c r="P24" s="319"/>
      <c r="Q24" s="319"/>
      <c r="R24" s="319">
        <v>4.946987</v>
      </c>
      <c r="S24" s="320">
        <f t="shared" si="12"/>
        <v>0.99953165962275137</v>
      </c>
      <c r="T24" s="320"/>
      <c r="U24" s="320">
        <f t="shared" si="13"/>
        <v>1.0283783468227334</v>
      </c>
      <c r="V24" s="320"/>
      <c r="W24" s="320"/>
      <c r="X24" s="320"/>
      <c r="Y24" s="320">
        <f t="shared" si="14"/>
        <v>0.17196163552595597</v>
      </c>
    </row>
    <row r="25" spans="1:25" ht="15.95" customHeight="1">
      <c r="A25" s="317" t="s">
        <v>38</v>
      </c>
      <c r="B25" s="318" t="s">
        <v>374</v>
      </c>
      <c r="C25" s="319">
        <f t="shared" si="15"/>
        <v>36</v>
      </c>
      <c r="D25" s="319"/>
      <c r="E25" s="319">
        <v>36</v>
      </c>
      <c r="F25" s="319"/>
      <c r="G25" s="319">
        <f t="shared" si="11"/>
        <v>0</v>
      </c>
      <c r="H25" s="319"/>
      <c r="I25" s="319"/>
      <c r="J25" s="319"/>
      <c r="K25" s="319">
        <f t="shared" si="20"/>
        <v>36</v>
      </c>
      <c r="L25" s="319"/>
      <c r="M25" s="319">
        <v>36</v>
      </c>
      <c r="N25" s="319"/>
      <c r="O25" s="319">
        <f t="shared" si="16"/>
        <v>0</v>
      </c>
      <c r="P25" s="319"/>
      <c r="Q25" s="319"/>
      <c r="R25" s="319"/>
      <c r="S25" s="320">
        <f t="shared" si="12"/>
        <v>1</v>
      </c>
      <c r="T25" s="320"/>
      <c r="U25" s="320">
        <f t="shared" si="13"/>
        <v>1</v>
      </c>
      <c r="V25" s="320"/>
      <c r="W25" s="320"/>
      <c r="X25" s="320"/>
      <c r="Y25" s="320"/>
    </row>
    <row r="26" spans="1:25" ht="15.95" customHeight="1">
      <c r="A26" s="317" t="s">
        <v>39</v>
      </c>
      <c r="B26" s="318" t="s">
        <v>84</v>
      </c>
      <c r="C26" s="319">
        <f t="shared" si="15"/>
        <v>7148.8542939999998</v>
      </c>
      <c r="D26" s="319"/>
      <c r="E26" s="319">
        <v>732.35823800000003</v>
      </c>
      <c r="F26" s="319"/>
      <c r="G26" s="319">
        <f t="shared" si="11"/>
        <v>6397</v>
      </c>
      <c r="H26" s="319">
        <v>4745</v>
      </c>
      <c r="I26" s="319">
        <v>1652</v>
      </c>
      <c r="J26" s="319">
        <v>19.496055999999999</v>
      </c>
      <c r="K26" s="319">
        <f t="shared" si="20"/>
        <v>7074.9542939999992</v>
      </c>
      <c r="L26" s="319"/>
      <c r="M26" s="319">
        <v>677.954294</v>
      </c>
      <c r="N26" s="319"/>
      <c r="O26" s="319">
        <f t="shared" si="16"/>
        <v>691.19800000000009</v>
      </c>
      <c r="P26" s="319">
        <v>345.09800000000001</v>
      </c>
      <c r="Q26" s="319">
        <v>346.1</v>
      </c>
      <c r="R26" s="319">
        <f>1305.9+4399.902</f>
        <v>5705.8019999999997</v>
      </c>
      <c r="S26" s="320">
        <f t="shared" si="12"/>
        <v>0.98966267922651263</v>
      </c>
      <c r="T26" s="320"/>
      <c r="U26" s="320">
        <f t="shared" si="13"/>
        <v>0.92571402740198294</v>
      </c>
      <c r="V26" s="320">
        <f t="shared" si="18"/>
        <v>0.10805033609504457</v>
      </c>
      <c r="W26" s="320">
        <f t="shared" si="21"/>
        <v>7.2728767123287671E-2</v>
      </c>
      <c r="X26" s="320">
        <f t="shared" si="19"/>
        <v>0.2095036319612591</v>
      </c>
      <c r="Y26" s="320">
        <f t="shared" si="14"/>
        <v>292.66442402504384</v>
      </c>
    </row>
    <row r="27" spans="1:25" ht="15.95" customHeight="1">
      <c r="A27" s="317" t="s">
        <v>40</v>
      </c>
      <c r="B27" s="318" t="s">
        <v>85</v>
      </c>
      <c r="C27" s="319">
        <f t="shared" si="15"/>
        <v>13770</v>
      </c>
      <c r="D27" s="319">
        <v>2500</v>
      </c>
      <c r="E27" s="319">
        <v>11270</v>
      </c>
      <c r="F27" s="319"/>
      <c r="G27" s="319">
        <f t="shared" si="11"/>
        <v>0</v>
      </c>
      <c r="H27" s="319"/>
      <c r="I27" s="319"/>
      <c r="J27" s="319"/>
      <c r="K27" s="319">
        <f t="shared" si="20"/>
        <v>13463</v>
      </c>
      <c r="L27" s="319">
        <v>1198.8399999999999</v>
      </c>
      <c r="M27" s="319">
        <v>10963</v>
      </c>
      <c r="N27" s="319"/>
      <c r="O27" s="319">
        <f t="shared" si="16"/>
        <v>0</v>
      </c>
      <c r="P27" s="319"/>
      <c r="Q27" s="319"/>
      <c r="R27" s="319">
        <v>1301.1600000000001</v>
      </c>
      <c r="S27" s="320">
        <f t="shared" si="12"/>
        <v>0.97770515613652864</v>
      </c>
      <c r="T27" s="320">
        <f t="shared" si="17"/>
        <v>0.47953599999999996</v>
      </c>
      <c r="U27" s="320">
        <f t="shared" si="13"/>
        <v>0.97275953859804787</v>
      </c>
      <c r="V27" s="320"/>
      <c r="W27" s="320"/>
      <c r="X27" s="320"/>
      <c r="Y27" s="320"/>
    </row>
    <row r="28" spans="1:25" ht="15.95" customHeight="1">
      <c r="A28" s="317" t="s">
        <v>61</v>
      </c>
      <c r="B28" s="318" t="s">
        <v>86</v>
      </c>
      <c r="C28" s="319">
        <f t="shared" si="15"/>
        <v>3269.0094599999998</v>
      </c>
      <c r="D28" s="319"/>
      <c r="E28" s="319">
        <v>3231.7874449999999</v>
      </c>
      <c r="F28" s="319"/>
      <c r="G28" s="319">
        <f t="shared" si="11"/>
        <v>0</v>
      </c>
      <c r="H28" s="319"/>
      <c r="I28" s="319"/>
      <c r="J28" s="319">
        <v>37.222014999999999</v>
      </c>
      <c r="K28" s="319">
        <f t="shared" si="20"/>
        <v>3265.090929</v>
      </c>
      <c r="L28" s="319"/>
      <c r="M28" s="319">
        <v>3265.090929</v>
      </c>
      <c r="N28" s="319"/>
      <c r="O28" s="319">
        <f t="shared" si="16"/>
        <v>0</v>
      </c>
      <c r="P28" s="319"/>
      <c r="Q28" s="319"/>
      <c r="R28" s="319"/>
      <c r="S28" s="320">
        <f t="shared" si="12"/>
        <v>0.99880130937277867</v>
      </c>
      <c r="T28" s="320"/>
      <c r="U28" s="320">
        <f t="shared" si="13"/>
        <v>1.0103049735066967</v>
      </c>
      <c r="V28" s="320"/>
      <c r="W28" s="320"/>
      <c r="X28" s="320"/>
      <c r="Y28" s="320">
        <f t="shared" si="14"/>
        <v>0</v>
      </c>
    </row>
    <row r="29" spans="1:25" ht="15.95" customHeight="1">
      <c r="A29" s="317" t="s">
        <v>62</v>
      </c>
      <c r="B29" s="318" t="s">
        <v>390</v>
      </c>
      <c r="C29" s="319">
        <f t="shared" si="15"/>
        <v>1420</v>
      </c>
      <c r="D29" s="319"/>
      <c r="E29" s="319">
        <v>1359.8442950000001</v>
      </c>
      <c r="F29" s="319"/>
      <c r="G29" s="319">
        <f t="shared" si="11"/>
        <v>0</v>
      </c>
      <c r="H29" s="319"/>
      <c r="I29" s="319"/>
      <c r="J29" s="319">
        <v>60.155704999999998</v>
      </c>
      <c r="K29" s="319">
        <f t="shared" si="20"/>
        <v>1417.7947360000001</v>
      </c>
      <c r="L29" s="319"/>
      <c r="M29" s="319">
        <v>1417.7753150000001</v>
      </c>
      <c r="N29" s="319"/>
      <c r="O29" s="319">
        <f t="shared" si="16"/>
        <v>0</v>
      </c>
      <c r="P29" s="319"/>
      <c r="Q29" s="319"/>
      <c r="R29" s="319">
        <v>1.9421000000000001E-2</v>
      </c>
      <c r="S29" s="320">
        <f t="shared" si="12"/>
        <v>0.99844699718309859</v>
      </c>
      <c r="T29" s="320"/>
      <c r="U29" s="320">
        <f t="shared" si="13"/>
        <v>1.0426012156046145</v>
      </c>
      <c r="V29" s="320"/>
      <c r="W29" s="320"/>
      <c r="X29" s="320"/>
      <c r="Y29" s="320">
        <f t="shared" si="14"/>
        <v>3.2284552229917346E-4</v>
      </c>
    </row>
    <row r="30" spans="1:25" ht="15.95" customHeight="1">
      <c r="A30" s="317" t="s">
        <v>63</v>
      </c>
      <c r="B30" s="318" t="s">
        <v>87</v>
      </c>
      <c r="C30" s="319">
        <f t="shared" si="15"/>
        <v>1430</v>
      </c>
      <c r="D30" s="319"/>
      <c r="E30" s="319">
        <v>957.08838500000002</v>
      </c>
      <c r="F30" s="319"/>
      <c r="G30" s="319">
        <f t="shared" si="11"/>
        <v>444</v>
      </c>
      <c r="H30" s="319"/>
      <c r="I30" s="319">
        <v>444</v>
      </c>
      <c r="J30" s="319">
        <v>28.911615000000001</v>
      </c>
      <c r="K30" s="319">
        <f t="shared" si="20"/>
        <v>1429.4174050000001</v>
      </c>
      <c r="L30" s="319"/>
      <c r="M30" s="319">
        <v>985.41740500000003</v>
      </c>
      <c r="N30" s="319"/>
      <c r="O30" s="319">
        <f t="shared" si="16"/>
        <v>61.338000000000001</v>
      </c>
      <c r="P30" s="319"/>
      <c r="Q30" s="319">
        <v>61.338000000000001</v>
      </c>
      <c r="R30" s="319">
        <v>382.66199999999998</v>
      </c>
      <c r="S30" s="320">
        <f t="shared" si="12"/>
        <v>0.99959259090909103</v>
      </c>
      <c r="T30" s="320"/>
      <c r="U30" s="320">
        <f t="shared" si="13"/>
        <v>1.0295991681060888</v>
      </c>
      <c r="V30" s="320">
        <f t="shared" si="18"/>
        <v>0.13814864864864865</v>
      </c>
      <c r="W30" s="320"/>
      <c r="X30" s="320">
        <f t="shared" si="19"/>
        <v>0.13814864864864865</v>
      </c>
      <c r="Y30" s="320">
        <f t="shared" si="14"/>
        <v>13.235580233065498</v>
      </c>
    </row>
    <row r="31" spans="1:25" ht="27" customHeight="1">
      <c r="A31" s="317" t="s">
        <v>64</v>
      </c>
      <c r="B31" s="318" t="s">
        <v>488</v>
      </c>
      <c r="C31" s="319">
        <f t="shared" si="15"/>
        <v>1286</v>
      </c>
      <c r="D31" s="319"/>
      <c r="E31" s="319">
        <f>1180.075524+100</f>
        <v>1280.0755240000001</v>
      </c>
      <c r="F31" s="319"/>
      <c r="G31" s="319">
        <f t="shared" si="11"/>
        <v>0</v>
      </c>
      <c r="H31" s="319"/>
      <c r="I31" s="319"/>
      <c r="J31" s="319">
        <v>5.9244760000000003</v>
      </c>
      <c r="K31" s="319">
        <f t="shared" si="20"/>
        <v>1286</v>
      </c>
      <c r="L31" s="319"/>
      <c r="M31" s="319">
        <f>1186+100</f>
        <v>1286</v>
      </c>
      <c r="N31" s="319"/>
      <c r="O31" s="319">
        <f t="shared" si="16"/>
        <v>0</v>
      </c>
      <c r="P31" s="319"/>
      <c r="Q31" s="319"/>
      <c r="R31" s="319"/>
      <c r="S31" s="320">
        <f t="shared" si="12"/>
        <v>1</v>
      </c>
      <c r="T31" s="320"/>
      <c r="U31" s="320">
        <f t="shared" si="13"/>
        <v>1.0046282237953328</v>
      </c>
      <c r="V31" s="320"/>
      <c r="W31" s="320"/>
      <c r="X31" s="320"/>
      <c r="Y31" s="320">
        <f t="shared" si="14"/>
        <v>0</v>
      </c>
    </row>
    <row r="32" spans="1:25" ht="15.95" customHeight="1">
      <c r="A32" s="317" t="s">
        <v>65</v>
      </c>
      <c r="B32" s="318" t="s">
        <v>88</v>
      </c>
      <c r="C32" s="319">
        <f t="shared" si="15"/>
        <v>680.63033999999993</v>
      </c>
      <c r="D32" s="319"/>
      <c r="E32" s="319">
        <v>638.21479299999999</v>
      </c>
      <c r="F32" s="319"/>
      <c r="G32" s="319">
        <f t="shared" si="11"/>
        <v>0</v>
      </c>
      <c r="H32" s="319"/>
      <c r="I32" s="319"/>
      <c r="J32" s="319">
        <v>42.415546999999997</v>
      </c>
      <c r="K32" s="319">
        <f t="shared" si="20"/>
        <v>680.63034000000005</v>
      </c>
      <c r="L32" s="319"/>
      <c r="M32" s="319">
        <v>680.63034000000005</v>
      </c>
      <c r="N32" s="319"/>
      <c r="O32" s="319">
        <f t="shared" si="16"/>
        <v>0</v>
      </c>
      <c r="P32" s="319"/>
      <c r="Q32" s="319"/>
      <c r="R32" s="319"/>
      <c r="S32" s="320">
        <f t="shared" si="12"/>
        <v>1.0000000000000002</v>
      </c>
      <c r="T32" s="320"/>
      <c r="U32" s="320">
        <f t="shared" si="13"/>
        <v>1.0664596738671961</v>
      </c>
      <c r="V32" s="320"/>
      <c r="W32" s="320"/>
      <c r="X32" s="320"/>
      <c r="Y32" s="320">
        <f t="shared" si="14"/>
        <v>0</v>
      </c>
    </row>
    <row r="33" spans="1:25" ht="15.95" customHeight="1">
      <c r="A33" s="317" t="s">
        <v>66</v>
      </c>
      <c r="B33" s="318" t="s">
        <v>257</v>
      </c>
      <c r="C33" s="319">
        <f t="shared" si="15"/>
        <v>195</v>
      </c>
      <c r="D33" s="319"/>
      <c r="E33" s="319">
        <v>195</v>
      </c>
      <c r="F33" s="319"/>
      <c r="G33" s="319">
        <f t="shared" si="11"/>
        <v>0</v>
      </c>
      <c r="H33" s="319"/>
      <c r="I33" s="319"/>
      <c r="J33" s="319"/>
      <c r="K33" s="319">
        <f t="shared" si="20"/>
        <v>195</v>
      </c>
      <c r="L33" s="319"/>
      <c r="M33" s="319">
        <v>195</v>
      </c>
      <c r="N33" s="319"/>
      <c r="O33" s="319">
        <f t="shared" si="16"/>
        <v>0</v>
      </c>
      <c r="P33" s="319"/>
      <c r="Q33" s="319"/>
      <c r="R33" s="319"/>
      <c r="S33" s="320">
        <f t="shared" si="12"/>
        <v>1</v>
      </c>
      <c r="T33" s="320"/>
      <c r="U33" s="320">
        <f t="shared" si="13"/>
        <v>1</v>
      </c>
      <c r="V33" s="320"/>
      <c r="W33" s="320"/>
      <c r="X33" s="320"/>
      <c r="Y33" s="320"/>
    </row>
    <row r="34" spans="1:25" ht="15.95" customHeight="1">
      <c r="A34" s="317" t="s">
        <v>67</v>
      </c>
      <c r="B34" s="318" t="s">
        <v>258</v>
      </c>
      <c r="C34" s="319">
        <f t="shared" si="15"/>
        <v>126</v>
      </c>
      <c r="D34" s="319"/>
      <c r="E34" s="319">
        <v>126</v>
      </c>
      <c r="F34" s="319"/>
      <c r="G34" s="319">
        <f t="shared" si="11"/>
        <v>0</v>
      </c>
      <c r="H34" s="319"/>
      <c r="I34" s="319"/>
      <c r="J34" s="319"/>
      <c r="K34" s="319">
        <f t="shared" si="20"/>
        <v>126</v>
      </c>
      <c r="L34" s="319"/>
      <c r="M34" s="319">
        <v>126</v>
      </c>
      <c r="N34" s="319"/>
      <c r="O34" s="319">
        <f t="shared" si="16"/>
        <v>0</v>
      </c>
      <c r="P34" s="319"/>
      <c r="Q34" s="319"/>
      <c r="R34" s="319"/>
      <c r="S34" s="320">
        <f t="shared" si="12"/>
        <v>1</v>
      </c>
      <c r="T34" s="320"/>
      <c r="U34" s="320">
        <f t="shared" si="13"/>
        <v>1</v>
      </c>
      <c r="V34" s="320"/>
      <c r="W34" s="320"/>
      <c r="X34" s="320"/>
      <c r="Y34" s="320"/>
    </row>
    <row r="35" spans="1:25" ht="15.95" customHeight="1">
      <c r="A35" s="317" t="s">
        <v>68</v>
      </c>
      <c r="B35" s="318" t="s">
        <v>93</v>
      </c>
      <c r="C35" s="319">
        <f t="shared" si="15"/>
        <v>180</v>
      </c>
      <c r="D35" s="319"/>
      <c r="E35" s="319">
        <v>180</v>
      </c>
      <c r="F35" s="319"/>
      <c r="G35" s="319">
        <f t="shared" si="11"/>
        <v>0</v>
      </c>
      <c r="H35" s="319"/>
      <c r="I35" s="319"/>
      <c r="J35" s="319"/>
      <c r="K35" s="319">
        <f t="shared" si="20"/>
        <v>180</v>
      </c>
      <c r="L35" s="319"/>
      <c r="M35" s="319">
        <v>180</v>
      </c>
      <c r="N35" s="319"/>
      <c r="O35" s="319">
        <f t="shared" si="16"/>
        <v>0</v>
      </c>
      <c r="P35" s="319"/>
      <c r="Q35" s="319"/>
      <c r="R35" s="319"/>
      <c r="S35" s="320">
        <f t="shared" si="12"/>
        <v>1</v>
      </c>
      <c r="T35" s="320"/>
      <c r="U35" s="320">
        <f t="shared" si="13"/>
        <v>1</v>
      </c>
      <c r="V35" s="320"/>
      <c r="W35" s="320"/>
      <c r="X35" s="320"/>
      <c r="Y35" s="320"/>
    </row>
    <row r="36" spans="1:25" ht="15.95" customHeight="1">
      <c r="A36" s="317" t="s">
        <v>69</v>
      </c>
      <c r="B36" s="318" t="s">
        <v>259</v>
      </c>
      <c r="C36" s="319">
        <f t="shared" si="15"/>
        <v>10</v>
      </c>
      <c r="D36" s="319"/>
      <c r="E36" s="319">
        <v>10</v>
      </c>
      <c r="F36" s="319"/>
      <c r="G36" s="319">
        <f t="shared" si="11"/>
        <v>0</v>
      </c>
      <c r="H36" s="319"/>
      <c r="I36" s="319"/>
      <c r="J36" s="319"/>
      <c r="K36" s="319">
        <f t="shared" si="20"/>
        <v>10</v>
      </c>
      <c r="L36" s="319"/>
      <c r="M36" s="319">
        <v>10</v>
      </c>
      <c r="N36" s="319"/>
      <c r="O36" s="319">
        <f t="shared" si="16"/>
        <v>0</v>
      </c>
      <c r="P36" s="319"/>
      <c r="Q36" s="319"/>
      <c r="R36" s="319"/>
      <c r="S36" s="320">
        <f t="shared" si="12"/>
        <v>1</v>
      </c>
      <c r="T36" s="320"/>
      <c r="U36" s="320">
        <f t="shared" si="13"/>
        <v>1</v>
      </c>
      <c r="V36" s="320"/>
      <c r="W36" s="320"/>
      <c r="X36" s="320"/>
      <c r="Y36" s="320"/>
    </row>
    <row r="37" spans="1:25" ht="15.95" customHeight="1">
      <c r="A37" s="317" t="s">
        <v>70</v>
      </c>
      <c r="B37" s="318" t="s">
        <v>92</v>
      </c>
      <c r="C37" s="319">
        <f t="shared" si="15"/>
        <v>186</v>
      </c>
      <c r="D37" s="319"/>
      <c r="E37" s="319">
        <v>186</v>
      </c>
      <c r="F37" s="319"/>
      <c r="G37" s="319">
        <f t="shared" si="11"/>
        <v>0</v>
      </c>
      <c r="H37" s="319"/>
      <c r="I37" s="319"/>
      <c r="J37" s="319"/>
      <c r="K37" s="319">
        <f t="shared" si="20"/>
        <v>186</v>
      </c>
      <c r="L37" s="319"/>
      <c r="M37" s="319">
        <v>186</v>
      </c>
      <c r="N37" s="319"/>
      <c r="O37" s="319">
        <f t="shared" si="16"/>
        <v>0</v>
      </c>
      <c r="P37" s="319"/>
      <c r="Q37" s="319"/>
      <c r="R37" s="319"/>
      <c r="S37" s="320">
        <f t="shared" si="12"/>
        <v>1</v>
      </c>
      <c r="T37" s="320"/>
      <c r="U37" s="320">
        <f t="shared" si="13"/>
        <v>1</v>
      </c>
      <c r="V37" s="320"/>
      <c r="W37" s="320"/>
      <c r="X37" s="320"/>
      <c r="Y37" s="320"/>
    </row>
    <row r="38" spans="1:25" ht="27" customHeight="1">
      <c r="A38" s="317" t="s">
        <v>71</v>
      </c>
      <c r="B38" s="318" t="s">
        <v>255</v>
      </c>
      <c r="C38" s="319">
        <f t="shared" si="15"/>
        <v>5364.700957</v>
      </c>
      <c r="D38" s="319"/>
      <c r="E38" s="319">
        <v>4398.160707</v>
      </c>
      <c r="F38" s="319"/>
      <c r="G38" s="319">
        <f t="shared" si="11"/>
        <v>0</v>
      </c>
      <c r="H38" s="319"/>
      <c r="I38" s="319"/>
      <c r="J38" s="319">
        <v>966.54025000000001</v>
      </c>
      <c r="K38" s="319">
        <f>L38+M38+O38+R38</f>
        <v>5196.0564999999997</v>
      </c>
      <c r="L38" s="319"/>
      <c r="M38" s="319">
        <v>5196.0564999999997</v>
      </c>
      <c r="N38" s="319"/>
      <c r="O38" s="319">
        <f t="shared" si="16"/>
        <v>0</v>
      </c>
      <c r="P38" s="319"/>
      <c r="Q38" s="319"/>
      <c r="R38" s="319"/>
      <c r="S38" s="320">
        <f t="shared" si="12"/>
        <v>0.96856405261882328</v>
      </c>
      <c r="T38" s="320"/>
      <c r="U38" s="320">
        <f t="shared" si="13"/>
        <v>1.1814157885886456</v>
      </c>
      <c r="V38" s="320"/>
      <c r="W38" s="320"/>
      <c r="X38" s="320"/>
      <c r="Y38" s="320">
        <f t="shared" si="14"/>
        <v>0</v>
      </c>
    </row>
    <row r="39" spans="1:25" ht="15.95" customHeight="1">
      <c r="A39" s="317" t="s">
        <v>126</v>
      </c>
      <c r="B39" s="318" t="s">
        <v>256</v>
      </c>
      <c r="C39" s="319">
        <f t="shared" si="15"/>
        <v>2237.3429389999997</v>
      </c>
      <c r="D39" s="319"/>
      <c r="E39" s="319">
        <v>2124.3512999999998</v>
      </c>
      <c r="F39" s="319"/>
      <c r="G39" s="319">
        <f t="shared" si="11"/>
        <v>0</v>
      </c>
      <c r="H39" s="319"/>
      <c r="I39" s="319"/>
      <c r="J39" s="319">
        <v>112.99163900000001</v>
      </c>
      <c r="K39" s="319">
        <f>L39+M39+O39+R39</f>
        <v>2375.740378</v>
      </c>
      <c r="L39" s="319"/>
      <c r="M39" s="319">
        <v>2236.942939</v>
      </c>
      <c r="N39" s="319"/>
      <c r="O39" s="319">
        <f t="shared" si="16"/>
        <v>0</v>
      </c>
      <c r="P39" s="319"/>
      <c r="Q39" s="319"/>
      <c r="R39" s="319">
        <v>138.797439</v>
      </c>
      <c r="S39" s="320">
        <f t="shared" si="12"/>
        <v>1.0618579461322359</v>
      </c>
      <c r="T39" s="320"/>
      <c r="U39" s="320">
        <f t="shared" si="13"/>
        <v>1.0530004801936479</v>
      </c>
      <c r="V39" s="320"/>
      <c r="W39" s="320"/>
      <c r="X39" s="320"/>
      <c r="Y39" s="320">
        <f t="shared" si="14"/>
        <v>1.2283868101072504</v>
      </c>
    </row>
    <row r="40" spans="1:25" ht="15.95" customHeight="1">
      <c r="A40" s="317" t="s">
        <v>127</v>
      </c>
      <c r="B40" s="318" t="s">
        <v>260</v>
      </c>
      <c r="C40" s="319">
        <f t="shared" si="15"/>
        <v>6243.2370000000001</v>
      </c>
      <c r="D40" s="319"/>
      <c r="E40" s="319">
        <v>6243.2370000000001</v>
      </c>
      <c r="F40" s="319"/>
      <c r="G40" s="319">
        <f t="shared" si="11"/>
        <v>0</v>
      </c>
      <c r="H40" s="319"/>
      <c r="I40" s="319"/>
      <c r="J40" s="319"/>
      <c r="K40" s="319">
        <f t="shared" si="20"/>
        <v>6243.2370000000001</v>
      </c>
      <c r="L40" s="319"/>
      <c r="M40" s="319">
        <v>6243.2370000000001</v>
      </c>
      <c r="N40" s="319"/>
      <c r="O40" s="319">
        <f t="shared" si="16"/>
        <v>0</v>
      </c>
      <c r="P40" s="319"/>
      <c r="Q40" s="319"/>
      <c r="R40" s="319"/>
      <c r="S40" s="320">
        <f t="shared" si="12"/>
        <v>1</v>
      </c>
      <c r="T40" s="320"/>
      <c r="U40" s="320">
        <f t="shared" si="13"/>
        <v>1</v>
      </c>
      <c r="V40" s="320"/>
      <c r="W40" s="320"/>
      <c r="X40" s="320"/>
      <c r="Y40" s="320"/>
    </row>
    <row r="41" spans="1:25" ht="15.95" customHeight="1">
      <c r="A41" s="317" t="s">
        <v>128</v>
      </c>
      <c r="B41" s="318" t="s">
        <v>261</v>
      </c>
      <c r="C41" s="319">
        <f t="shared" si="15"/>
        <v>1469.94</v>
      </c>
      <c r="D41" s="319"/>
      <c r="E41" s="319">
        <v>1469.94</v>
      </c>
      <c r="F41" s="319"/>
      <c r="G41" s="319">
        <f t="shared" si="11"/>
        <v>0</v>
      </c>
      <c r="H41" s="319"/>
      <c r="I41" s="319"/>
      <c r="J41" s="319"/>
      <c r="K41" s="319">
        <f t="shared" si="20"/>
        <v>1469.62</v>
      </c>
      <c r="L41" s="319"/>
      <c r="M41" s="319">
        <v>1469.62</v>
      </c>
      <c r="N41" s="319"/>
      <c r="O41" s="319">
        <f t="shared" si="16"/>
        <v>0</v>
      </c>
      <c r="P41" s="319"/>
      <c r="Q41" s="319"/>
      <c r="R41" s="319"/>
      <c r="S41" s="320">
        <f t="shared" si="12"/>
        <v>0.99978230403962054</v>
      </c>
      <c r="T41" s="320"/>
      <c r="U41" s="320">
        <f t="shared" si="13"/>
        <v>0.99978230403962054</v>
      </c>
      <c r="V41" s="320"/>
      <c r="W41" s="320"/>
      <c r="X41" s="320"/>
      <c r="Y41" s="320"/>
    </row>
    <row r="42" spans="1:25" ht="15.95" customHeight="1">
      <c r="A42" s="317" t="s">
        <v>129</v>
      </c>
      <c r="B42" s="318" t="s">
        <v>262</v>
      </c>
      <c r="C42" s="319">
        <f t="shared" si="15"/>
        <v>80</v>
      </c>
      <c r="D42" s="319"/>
      <c r="E42" s="319">
        <v>80</v>
      </c>
      <c r="F42" s="319"/>
      <c r="G42" s="319">
        <f t="shared" si="11"/>
        <v>0</v>
      </c>
      <c r="H42" s="319"/>
      <c r="I42" s="319"/>
      <c r="J42" s="319"/>
      <c r="K42" s="319">
        <f t="shared" si="20"/>
        <v>80</v>
      </c>
      <c r="L42" s="319"/>
      <c r="M42" s="319">
        <v>80</v>
      </c>
      <c r="N42" s="319"/>
      <c r="O42" s="319">
        <f t="shared" si="16"/>
        <v>0</v>
      </c>
      <c r="P42" s="319"/>
      <c r="Q42" s="319"/>
      <c r="R42" s="319"/>
      <c r="S42" s="320">
        <f t="shared" si="12"/>
        <v>1</v>
      </c>
      <c r="T42" s="320"/>
      <c r="U42" s="320">
        <f t="shared" si="13"/>
        <v>1</v>
      </c>
      <c r="V42" s="320"/>
      <c r="W42" s="320"/>
      <c r="X42" s="320"/>
      <c r="Y42" s="320"/>
    </row>
    <row r="43" spans="1:25" ht="15.95" customHeight="1">
      <c r="A43" s="317" t="s">
        <v>130</v>
      </c>
      <c r="B43" s="318" t="s">
        <v>263</v>
      </c>
      <c r="C43" s="319">
        <f t="shared" si="15"/>
        <v>1142.6241</v>
      </c>
      <c r="D43" s="319"/>
      <c r="E43" s="319">
        <v>1142.6241</v>
      </c>
      <c r="F43" s="319"/>
      <c r="G43" s="319">
        <f t="shared" si="11"/>
        <v>0</v>
      </c>
      <c r="H43" s="319"/>
      <c r="I43" s="319"/>
      <c r="J43" s="319"/>
      <c r="K43" s="319">
        <f t="shared" si="20"/>
        <v>1090.843891</v>
      </c>
      <c r="L43" s="319"/>
      <c r="M43" s="319">
        <v>1090.843891</v>
      </c>
      <c r="N43" s="319"/>
      <c r="O43" s="319">
        <f t="shared" si="16"/>
        <v>0</v>
      </c>
      <c r="P43" s="319"/>
      <c r="Q43" s="319"/>
      <c r="R43" s="319"/>
      <c r="S43" s="320">
        <f t="shared" si="12"/>
        <v>0.95468307643782413</v>
      </c>
      <c r="T43" s="320"/>
      <c r="U43" s="320">
        <f t="shared" si="13"/>
        <v>0.95468307643782413</v>
      </c>
      <c r="V43" s="320"/>
      <c r="W43" s="320"/>
      <c r="X43" s="320"/>
      <c r="Y43" s="320"/>
    </row>
    <row r="44" spans="1:25" ht="15.95" customHeight="1">
      <c r="A44" s="317" t="s">
        <v>131</v>
      </c>
      <c r="B44" s="318" t="s">
        <v>264</v>
      </c>
      <c r="C44" s="319">
        <f t="shared" si="15"/>
        <v>34.5</v>
      </c>
      <c r="D44" s="319"/>
      <c r="E44" s="319">
        <v>34.5</v>
      </c>
      <c r="F44" s="319"/>
      <c r="G44" s="319">
        <f t="shared" si="11"/>
        <v>0</v>
      </c>
      <c r="H44" s="319"/>
      <c r="I44" s="319"/>
      <c r="J44" s="319"/>
      <c r="K44" s="319">
        <f t="shared" si="20"/>
        <v>34.5</v>
      </c>
      <c r="L44" s="319"/>
      <c r="M44" s="319">
        <v>34.5</v>
      </c>
      <c r="N44" s="319"/>
      <c r="O44" s="319">
        <f t="shared" si="16"/>
        <v>0</v>
      </c>
      <c r="P44" s="319"/>
      <c r="Q44" s="319"/>
      <c r="R44" s="319"/>
      <c r="S44" s="320">
        <f t="shared" ref="S44:T107" si="22">K44/C44</f>
        <v>1</v>
      </c>
      <c r="T44" s="320"/>
      <c r="U44" s="320">
        <f t="shared" ref="U44:U77" si="23">M44/E44</f>
        <v>1</v>
      </c>
      <c r="V44" s="320"/>
      <c r="W44" s="320"/>
      <c r="X44" s="320"/>
      <c r="Y44" s="320"/>
    </row>
    <row r="45" spans="1:25" ht="15.95" customHeight="1">
      <c r="A45" s="317" t="s">
        <v>132</v>
      </c>
      <c r="B45" s="318" t="s">
        <v>265</v>
      </c>
      <c r="C45" s="319">
        <f t="shared" si="15"/>
        <v>39.1</v>
      </c>
      <c r="D45" s="319"/>
      <c r="E45" s="319">
        <v>39.1</v>
      </c>
      <c r="F45" s="319"/>
      <c r="G45" s="319">
        <f t="shared" si="11"/>
        <v>0</v>
      </c>
      <c r="H45" s="319"/>
      <c r="I45" s="319"/>
      <c r="J45" s="319"/>
      <c r="K45" s="319">
        <f t="shared" si="20"/>
        <v>39.1</v>
      </c>
      <c r="L45" s="319"/>
      <c r="M45" s="319">
        <v>39.1</v>
      </c>
      <c r="N45" s="319"/>
      <c r="O45" s="319">
        <f t="shared" si="16"/>
        <v>0</v>
      </c>
      <c r="P45" s="319"/>
      <c r="Q45" s="319"/>
      <c r="R45" s="319"/>
      <c r="S45" s="320">
        <f t="shared" si="22"/>
        <v>1</v>
      </c>
      <c r="T45" s="320"/>
      <c r="U45" s="320">
        <f t="shared" si="23"/>
        <v>1</v>
      </c>
      <c r="V45" s="320"/>
      <c r="W45" s="320"/>
      <c r="X45" s="320"/>
      <c r="Y45" s="320"/>
    </row>
    <row r="46" spans="1:25" ht="15.95" customHeight="1">
      <c r="A46" s="317" t="s">
        <v>267</v>
      </c>
      <c r="B46" s="318" t="s">
        <v>358</v>
      </c>
      <c r="C46" s="319">
        <f t="shared" si="15"/>
        <v>43.5</v>
      </c>
      <c r="D46" s="319"/>
      <c r="E46" s="319">
        <v>43.5</v>
      </c>
      <c r="F46" s="319"/>
      <c r="G46" s="319">
        <f t="shared" si="11"/>
        <v>0</v>
      </c>
      <c r="H46" s="319"/>
      <c r="I46" s="319"/>
      <c r="J46" s="319"/>
      <c r="K46" s="319">
        <f t="shared" si="20"/>
        <v>43.5</v>
      </c>
      <c r="L46" s="319"/>
      <c r="M46" s="319">
        <v>43.5</v>
      </c>
      <c r="N46" s="319"/>
      <c r="O46" s="319">
        <f t="shared" si="16"/>
        <v>0</v>
      </c>
      <c r="P46" s="319"/>
      <c r="Q46" s="319"/>
      <c r="R46" s="319"/>
      <c r="S46" s="320">
        <f t="shared" si="22"/>
        <v>1</v>
      </c>
      <c r="T46" s="320"/>
      <c r="U46" s="320">
        <f t="shared" si="23"/>
        <v>1</v>
      </c>
      <c r="V46" s="320"/>
      <c r="W46" s="320"/>
      <c r="X46" s="320"/>
      <c r="Y46" s="320"/>
    </row>
    <row r="47" spans="1:25" ht="15.95" customHeight="1">
      <c r="A47" s="317" t="s">
        <v>401</v>
      </c>
      <c r="B47" s="318" t="s">
        <v>266</v>
      </c>
      <c r="C47" s="319">
        <f t="shared" si="15"/>
        <v>1000</v>
      </c>
      <c r="D47" s="319"/>
      <c r="E47" s="319">
        <v>1000</v>
      </c>
      <c r="F47" s="319"/>
      <c r="G47" s="319">
        <f t="shared" si="11"/>
        <v>0</v>
      </c>
      <c r="H47" s="319"/>
      <c r="I47" s="319"/>
      <c r="J47" s="319"/>
      <c r="K47" s="319">
        <f t="shared" si="20"/>
        <v>1000</v>
      </c>
      <c r="L47" s="319"/>
      <c r="M47" s="319">
        <v>1000</v>
      </c>
      <c r="N47" s="319"/>
      <c r="O47" s="319">
        <f t="shared" si="16"/>
        <v>0</v>
      </c>
      <c r="P47" s="319"/>
      <c r="Q47" s="319"/>
      <c r="R47" s="319"/>
      <c r="S47" s="320">
        <f t="shared" si="22"/>
        <v>1</v>
      </c>
      <c r="T47" s="320"/>
      <c r="U47" s="320">
        <f t="shared" si="23"/>
        <v>1</v>
      </c>
      <c r="V47" s="320"/>
      <c r="W47" s="320"/>
      <c r="X47" s="320"/>
      <c r="Y47" s="320"/>
    </row>
    <row r="48" spans="1:25" ht="15.95" customHeight="1">
      <c r="A48" s="317" t="s">
        <v>268</v>
      </c>
      <c r="B48" s="318" t="s">
        <v>410</v>
      </c>
      <c r="C48" s="319">
        <f t="shared" ref="C48:C49" si="24">D48+E48+F48+G48+J48</f>
        <v>67.849999999999994</v>
      </c>
      <c r="D48" s="319"/>
      <c r="E48" s="319">
        <v>67.849999999999994</v>
      </c>
      <c r="F48" s="319"/>
      <c r="G48" s="319">
        <f t="shared" ref="G48:G49" si="25">SUM(H48:I48)</f>
        <v>0</v>
      </c>
      <c r="H48" s="319"/>
      <c r="I48" s="319"/>
      <c r="J48" s="319"/>
      <c r="K48" s="319">
        <f t="shared" ref="K48:K49" si="26">L48+M48+O48+R48</f>
        <v>67.849999999999994</v>
      </c>
      <c r="L48" s="319"/>
      <c r="M48" s="319">
        <v>67.849999999999994</v>
      </c>
      <c r="N48" s="319"/>
      <c r="O48" s="319"/>
      <c r="P48" s="319"/>
      <c r="Q48" s="319"/>
      <c r="R48" s="319"/>
      <c r="S48" s="320">
        <f t="shared" si="22"/>
        <v>1</v>
      </c>
      <c r="T48" s="320"/>
      <c r="U48" s="320">
        <f t="shared" ref="U48:U49" si="27">M48/E48</f>
        <v>1</v>
      </c>
      <c r="V48" s="320"/>
      <c r="W48" s="320"/>
      <c r="X48" s="320"/>
      <c r="Y48" s="320"/>
    </row>
    <row r="49" spans="1:25" ht="15.95" customHeight="1">
      <c r="A49" s="317" t="s">
        <v>269</v>
      </c>
      <c r="B49" s="318" t="s">
        <v>483</v>
      </c>
      <c r="C49" s="319">
        <f t="shared" si="24"/>
        <v>48</v>
      </c>
      <c r="D49" s="319"/>
      <c r="E49" s="319">
        <v>48</v>
      </c>
      <c r="F49" s="319"/>
      <c r="G49" s="319">
        <f t="shared" si="25"/>
        <v>0</v>
      </c>
      <c r="H49" s="319"/>
      <c r="I49" s="319"/>
      <c r="J49" s="319"/>
      <c r="K49" s="319">
        <f t="shared" si="26"/>
        <v>48</v>
      </c>
      <c r="L49" s="319"/>
      <c r="M49" s="319">
        <v>48</v>
      </c>
      <c r="N49" s="319"/>
      <c r="O49" s="319"/>
      <c r="P49" s="319"/>
      <c r="Q49" s="319"/>
      <c r="R49" s="319"/>
      <c r="S49" s="320">
        <f t="shared" si="22"/>
        <v>1</v>
      </c>
      <c r="T49" s="320"/>
      <c r="U49" s="320">
        <f t="shared" si="27"/>
        <v>1</v>
      </c>
      <c r="V49" s="320"/>
      <c r="W49" s="320"/>
      <c r="X49" s="320"/>
      <c r="Y49" s="320"/>
    </row>
    <row r="50" spans="1:25" ht="15.95" customHeight="1">
      <c r="A50" s="317" t="s">
        <v>270</v>
      </c>
      <c r="B50" s="318" t="s">
        <v>484</v>
      </c>
      <c r="C50" s="319">
        <f t="shared" si="15"/>
        <v>15</v>
      </c>
      <c r="D50" s="319"/>
      <c r="E50" s="319">
        <v>15</v>
      </c>
      <c r="F50" s="319"/>
      <c r="G50" s="319">
        <f t="shared" si="11"/>
        <v>0</v>
      </c>
      <c r="H50" s="319"/>
      <c r="I50" s="319"/>
      <c r="J50" s="319"/>
      <c r="K50" s="319">
        <f t="shared" si="20"/>
        <v>15</v>
      </c>
      <c r="L50" s="319"/>
      <c r="M50" s="319">
        <v>15</v>
      </c>
      <c r="N50" s="319"/>
      <c r="O50" s="319"/>
      <c r="P50" s="319"/>
      <c r="Q50" s="319"/>
      <c r="R50" s="319"/>
      <c r="S50" s="320">
        <f t="shared" si="22"/>
        <v>1</v>
      </c>
      <c r="T50" s="320"/>
      <c r="U50" s="320">
        <f t="shared" si="23"/>
        <v>1</v>
      </c>
      <c r="V50" s="320"/>
      <c r="W50" s="320"/>
      <c r="X50" s="320"/>
      <c r="Y50" s="320"/>
    </row>
    <row r="51" spans="1:25" ht="15.95" customHeight="1">
      <c r="A51" s="317" t="s">
        <v>271</v>
      </c>
      <c r="B51" s="318" t="s">
        <v>485</v>
      </c>
      <c r="C51" s="319">
        <f t="shared" si="15"/>
        <v>773.13340800000003</v>
      </c>
      <c r="D51" s="319"/>
      <c r="E51" s="319">
        <v>711.49834199999998</v>
      </c>
      <c r="F51" s="319"/>
      <c r="G51" s="319">
        <f t="shared" si="11"/>
        <v>0</v>
      </c>
      <c r="H51" s="319"/>
      <c r="I51" s="319"/>
      <c r="J51" s="319">
        <v>61.635066000000002</v>
      </c>
      <c r="K51" s="319">
        <f t="shared" si="20"/>
        <v>773.13340800000003</v>
      </c>
      <c r="L51" s="319"/>
      <c r="M51" s="319">
        <v>773.13340800000003</v>
      </c>
      <c r="N51" s="319"/>
      <c r="O51" s="319">
        <f t="shared" si="16"/>
        <v>0</v>
      </c>
      <c r="P51" s="319"/>
      <c r="Q51" s="319"/>
      <c r="R51" s="319"/>
      <c r="S51" s="320">
        <f t="shared" si="22"/>
        <v>1</v>
      </c>
      <c r="T51" s="320"/>
      <c r="U51" s="320">
        <f t="shared" si="23"/>
        <v>1.0866271393222728</v>
      </c>
      <c r="V51" s="320"/>
      <c r="W51" s="320"/>
      <c r="X51" s="320"/>
      <c r="Y51" s="320">
        <f t="shared" si="14"/>
        <v>0</v>
      </c>
    </row>
    <row r="52" spans="1:25" ht="15.95" customHeight="1">
      <c r="A52" s="317" t="s">
        <v>272</v>
      </c>
      <c r="B52" s="318" t="s">
        <v>277</v>
      </c>
      <c r="C52" s="319">
        <f t="shared" si="15"/>
        <v>3114.3972599999997</v>
      </c>
      <c r="D52" s="319"/>
      <c r="E52" s="319">
        <v>1604.8069399999999</v>
      </c>
      <c r="F52" s="319"/>
      <c r="G52" s="319">
        <f t="shared" si="11"/>
        <v>1450</v>
      </c>
      <c r="H52" s="319"/>
      <c r="I52" s="319">
        <v>1450</v>
      </c>
      <c r="J52" s="319">
        <v>59.590319999999998</v>
      </c>
      <c r="K52" s="319">
        <f t="shared" si="20"/>
        <v>3113.9972600000001</v>
      </c>
      <c r="L52" s="319"/>
      <c r="M52" s="319">
        <v>1660.2116040000001</v>
      </c>
      <c r="N52" s="319"/>
      <c r="O52" s="319">
        <f t="shared" si="16"/>
        <v>715.0258</v>
      </c>
      <c r="P52" s="319"/>
      <c r="Q52" s="319">
        <v>715.0258</v>
      </c>
      <c r="R52" s="319">
        <v>738.75985600000001</v>
      </c>
      <c r="S52" s="320">
        <f t="shared" si="22"/>
        <v>0.99987156423326684</v>
      </c>
      <c r="T52" s="320"/>
      <c r="U52" s="320">
        <f t="shared" si="23"/>
        <v>1.0345241926732944</v>
      </c>
      <c r="V52" s="320">
        <f t="shared" si="18"/>
        <v>0.49312124137931035</v>
      </c>
      <c r="W52" s="320"/>
      <c r="X52" s="320">
        <f t="shared" si="19"/>
        <v>0.49312124137931035</v>
      </c>
      <c r="Y52" s="320">
        <f t="shared" si="14"/>
        <v>12.397313120654497</v>
      </c>
    </row>
    <row r="53" spans="1:25" ht="15.95" customHeight="1">
      <c r="A53" s="317" t="s">
        <v>273</v>
      </c>
      <c r="B53" s="318" t="s">
        <v>278</v>
      </c>
      <c r="C53" s="319">
        <f t="shared" si="15"/>
        <v>3091.352421</v>
      </c>
      <c r="D53" s="319"/>
      <c r="E53" s="319">
        <v>2843.88058</v>
      </c>
      <c r="F53" s="319"/>
      <c r="G53" s="319">
        <f t="shared" si="11"/>
        <v>0</v>
      </c>
      <c r="H53" s="319"/>
      <c r="I53" s="319"/>
      <c r="J53" s="319">
        <v>247.47184100000001</v>
      </c>
      <c r="K53" s="319">
        <f t="shared" si="20"/>
        <v>3038.8914210000003</v>
      </c>
      <c r="L53" s="319"/>
      <c r="M53" s="319">
        <v>2958.9686280000001</v>
      </c>
      <c r="N53" s="319"/>
      <c r="O53" s="319">
        <f t="shared" si="16"/>
        <v>0</v>
      </c>
      <c r="P53" s="319"/>
      <c r="Q53" s="319"/>
      <c r="R53" s="319">
        <v>79.922792999999999</v>
      </c>
      <c r="S53" s="320">
        <f t="shared" si="22"/>
        <v>0.98302975757677302</v>
      </c>
      <c r="T53" s="320"/>
      <c r="U53" s="320">
        <f t="shared" si="23"/>
        <v>1.0404686641237235</v>
      </c>
      <c r="V53" s="320"/>
      <c r="W53" s="320"/>
      <c r="X53" s="320"/>
      <c r="Y53" s="320">
        <f t="shared" si="14"/>
        <v>0.32295711979610642</v>
      </c>
    </row>
    <row r="54" spans="1:25" ht="15.95" customHeight="1">
      <c r="A54" s="317" t="s">
        <v>274</v>
      </c>
      <c r="B54" s="318" t="s">
        <v>279</v>
      </c>
      <c r="C54" s="319">
        <f t="shared" si="15"/>
        <v>2002.129529</v>
      </c>
      <c r="D54" s="319"/>
      <c r="E54" s="319">
        <v>1865.637086</v>
      </c>
      <c r="F54" s="319"/>
      <c r="G54" s="319">
        <f t="shared" si="11"/>
        <v>0</v>
      </c>
      <c r="H54" s="319"/>
      <c r="I54" s="319"/>
      <c r="J54" s="319">
        <v>136.49244300000001</v>
      </c>
      <c r="K54" s="319">
        <f t="shared" si="20"/>
        <v>1980.335529</v>
      </c>
      <c r="L54" s="319"/>
      <c r="M54" s="319">
        <v>1867.8384349999999</v>
      </c>
      <c r="N54" s="319"/>
      <c r="O54" s="319">
        <f t="shared" si="16"/>
        <v>0</v>
      </c>
      <c r="P54" s="319"/>
      <c r="Q54" s="319"/>
      <c r="R54" s="319">
        <v>112.497094</v>
      </c>
      <c r="S54" s="320">
        <f t="shared" si="22"/>
        <v>0.98911459039771243</v>
      </c>
      <c r="T54" s="320"/>
      <c r="U54" s="320">
        <f t="shared" si="23"/>
        <v>1.0011799449188266</v>
      </c>
      <c r="V54" s="320"/>
      <c r="W54" s="320"/>
      <c r="X54" s="320"/>
      <c r="Y54" s="320">
        <f t="shared" si="14"/>
        <v>0.82420016469336688</v>
      </c>
    </row>
    <row r="55" spans="1:25" ht="15.95" customHeight="1">
      <c r="A55" s="317" t="s">
        <v>275</v>
      </c>
      <c r="B55" s="318" t="s">
        <v>359</v>
      </c>
      <c r="C55" s="319">
        <f t="shared" si="15"/>
        <v>1757.7925829999999</v>
      </c>
      <c r="D55" s="319"/>
      <c r="E55" s="319">
        <v>1640.2561619999999</v>
      </c>
      <c r="F55" s="319"/>
      <c r="G55" s="319">
        <f t="shared" si="11"/>
        <v>0</v>
      </c>
      <c r="H55" s="319"/>
      <c r="I55" s="319"/>
      <c r="J55" s="319">
        <v>117.536421</v>
      </c>
      <c r="K55" s="319">
        <f t="shared" si="20"/>
        <v>1747.707083</v>
      </c>
      <c r="L55" s="319"/>
      <c r="M55" s="319">
        <v>1657.166876</v>
      </c>
      <c r="N55" s="319"/>
      <c r="O55" s="319">
        <f t="shared" si="16"/>
        <v>0</v>
      </c>
      <c r="P55" s="319"/>
      <c r="Q55" s="319"/>
      <c r="R55" s="319">
        <v>90.540206999999995</v>
      </c>
      <c r="S55" s="320">
        <f t="shared" si="22"/>
        <v>0.99426240610095928</v>
      </c>
      <c r="T55" s="320"/>
      <c r="U55" s="320">
        <f t="shared" si="23"/>
        <v>1.0103098006224713</v>
      </c>
      <c r="V55" s="320"/>
      <c r="W55" s="320"/>
      <c r="X55" s="320"/>
      <c r="Y55" s="320">
        <f t="shared" si="14"/>
        <v>0.77031618139878522</v>
      </c>
    </row>
    <row r="56" spans="1:25" ht="15.95" customHeight="1">
      <c r="A56" s="317" t="s">
        <v>276</v>
      </c>
      <c r="B56" s="318" t="s">
        <v>280</v>
      </c>
      <c r="C56" s="319">
        <f t="shared" si="15"/>
        <v>3697.877778</v>
      </c>
      <c r="D56" s="319"/>
      <c r="E56" s="319">
        <v>3349.3230020000001</v>
      </c>
      <c r="F56" s="319"/>
      <c r="G56" s="319">
        <f t="shared" si="11"/>
        <v>0</v>
      </c>
      <c r="H56" s="319"/>
      <c r="I56" s="319"/>
      <c r="J56" s="319">
        <v>348.554776</v>
      </c>
      <c r="K56" s="319">
        <f t="shared" si="20"/>
        <v>3674.8872780000002</v>
      </c>
      <c r="L56" s="319"/>
      <c r="M56" s="319">
        <v>3413.3323270000001</v>
      </c>
      <c r="N56" s="319"/>
      <c r="O56" s="319">
        <f t="shared" si="16"/>
        <v>0</v>
      </c>
      <c r="P56" s="319"/>
      <c r="Q56" s="319"/>
      <c r="R56" s="319">
        <v>261.55495100000002</v>
      </c>
      <c r="S56" s="320">
        <f t="shared" si="22"/>
        <v>0.99378278532168407</v>
      </c>
      <c r="T56" s="320"/>
      <c r="U56" s="320">
        <f t="shared" si="23"/>
        <v>1.0191111233409791</v>
      </c>
      <c r="V56" s="320"/>
      <c r="W56" s="320"/>
      <c r="X56" s="320"/>
      <c r="Y56" s="320">
        <f t="shared" si="14"/>
        <v>0.75039841370585614</v>
      </c>
    </row>
    <row r="57" spans="1:25" ht="15.95" customHeight="1">
      <c r="A57" s="317" t="s">
        <v>315</v>
      </c>
      <c r="B57" s="318" t="s">
        <v>281</v>
      </c>
      <c r="C57" s="319">
        <f t="shared" si="15"/>
        <v>1519.095118</v>
      </c>
      <c r="D57" s="319"/>
      <c r="E57" s="319">
        <v>1482.412341</v>
      </c>
      <c r="F57" s="319"/>
      <c r="G57" s="319">
        <f t="shared" si="11"/>
        <v>0</v>
      </c>
      <c r="H57" s="319"/>
      <c r="I57" s="319"/>
      <c r="J57" s="319">
        <v>36.682777000000002</v>
      </c>
      <c r="K57" s="319">
        <f t="shared" si="20"/>
        <v>1421.6371180000001</v>
      </c>
      <c r="L57" s="319"/>
      <c r="M57" s="319">
        <v>1391.6371180000001</v>
      </c>
      <c r="N57" s="319"/>
      <c r="O57" s="319">
        <f t="shared" si="16"/>
        <v>0</v>
      </c>
      <c r="P57" s="319"/>
      <c r="Q57" s="319"/>
      <c r="R57" s="319">
        <v>30</v>
      </c>
      <c r="S57" s="320">
        <f t="shared" si="22"/>
        <v>0.93584470199054393</v>
      </c>
      <c r="T57" s="320"/>
      <c r="U57" s="320">
        <f t="shared" si="23"/>
        <v>0.93876520014750753</v>
      </c>
      <c r="V57" s="320"/>
      <c r="W57" s="320"/>
      <c r="X57" s="320"/>
      <c r="Y57" s="320">
        <f t="shared" si="14"/>
        <v>0.81782248928427637</v>
      </c>
    </row>
    <row r="58" spans="1:25" ht="15.95" customHeight="1">
      <c r="A58" s="317" t="s">
        <v>316</v>
      </c>
      <c r="B58" s="318" t="s">
        <v>282</v>
      </c>
      <c r="C58" s="319">
        <f t="shared" si="15"/>
        <v>7231.9137639999999</v>
      </c>
      <c r="D58" s="319"/>
      <c r="E58" s="319">
        <v>6690.7587990000002</v>
      </c>
      <c r="F58" s="319"/>
      <c r="G58" s="319">
        <f t="shared" si="11"/>
        <v>0</v>
      </c>
      <c r="H58" s="319"/>
      <c r="I58" s="319"/>
      <c r="J58" s="319">
        <v>541.15496499999995</v>
      </c>
      <c r="K58" s="319">
        <f t="shared" ref="K58:K110" si="28">L58+M58+O58+R58</f>
        <v>7191.0002640000002</v>
      </c>
      <c r="L58" s="319"/>
      <c r="M58" s="319">
        <v>6833.1589940000003</v>
      </c>
      <c r="N58" s="319"/>
      <c r="O58" s="319">
        <f t="shared" si="16"/>
        <v>0</v>
      </c>
      <c r="P58" s="319"/>
      <c r="Q58" s="319"/>
      <c r="R58" s="319">
        <v>357.84127000000001</v>
      </c>
      <c r="S58" s="320">
        <f t="shared" si="22"/>
        <v>0.99434264548290596</v>
      </c>
      <c r="T58" s="320"/>
      <c r="U58" s="320">
        <f t="shared" si="23"/>
        <v>1.0212831159032789</v>
      </c>
      <c r="V58" s="320"/>
      <c r="W58" s="320"/>
      <c r="X58" s="320"/>
      <c r="Y58" s="320">
        <f t="shared" si="14"/>
        <v>0.66125471102348665</v>
      </c>
    </row>
    <row r="59" spans="1:25" ht="15.95" customHeight="1">
      <c r="A59" s="317" t="s">
        <v>317</v>
      </c>
      <c r="B59" s="318" t="s">
        <v>283</v>
      </c>
      <c r="C59" s="319">
        <f t="shared" si="15"/>
        <v>4552.8753020000004</v>
      </c>
      <c r="D59" s="319"/>
      <c r="E59" s="319">
        <v>4143.69326</v>
      </c>
      <c r="F59" s="319"/>
      <c r="G59" s="319">
        <f t="shared" si="11"/>
        <v>0</v>
      </c>
      <c r="H59" s="319"/>
      <c r="I59" s="319"/>
      <c r="J59" s="319">
        <v>409.18204200000002</v>
      </c>
      <c r="K59" s="319">
        <f t="shared" si="28"/>
        <v>4451.4743020000005</v>
      </c>
      <c r="L59" s="319"/>
      <c r="M59" s="319">
        <v>3609.8394330000001</v>
      </c>
      <c r="N59" s="319"/>
      <c r="O59" s="319">
        <f t="shared" si="16"/>
        <v>0</v>
      </c>
      <c r="P59" s="319"/>
      <c r="Q59" s="319"/>
      <c r="R59" s="319">
        <v>841.63486899999998</v>
      </c>
      <c r="S59" s="320">
        <f t="shared" si="22"/>
        <v>0.97772814029071775</v>
      </c>
      <c r="T59" s="320"/>
      <c r="U59" s="320">
        <f t="shared" si="23"/>
        <v>0.8711647331250576</v>
      </c>
      <c r="V59" s="320"/>
      <c r="W59" s="320"/>
      <c r="X59" s="320"/>
      <c r="Y59" s="320">
        <f t="shared" si="14"/>
        <v>2.056871471891232</v>
      </c>
    </row>
    <row r="60" spans="1:25" ht="15.95" customHeight="1">
      <c r="A60" s="317" t="s">
        <v>318</v>
      </c>
      <c r="B60" s="318" t="s">
        <v>284</v>
      </c>
      <c r="C60" s="319">
        <f t="shared" si="15"/>
        <v>2764.5375320000003</v>
      </c>
      <c r="D60" s="319"/>
      <c r="E60" s="319">
        <v>2374.4331560000001</v>
      </c>
      <c r="F60" s="319"/>
      <c r="G60" s="319">
        <f t="shared" si="11"/>
        <v>0</v>
      </c>
      <c r="H60" s="319"/>
      <c r="I60" s="319"/>
      <c r="J60" s="319">
        <v>390.104376</v>
      </c>
      <c r="K60" s="319">
        <f t="shared" si="28"/>
        <v>2730.6000319999998</v>
      </c>
      <c r="L60" s="319"/>
      <c r="M60" s="319">
        <v>2382.1036399999998</v>
      </c>
      <c r="N60" s="319"/>
      <c r="O60" s="319">
        <f t="shared" si="16"/>
        <v>0</v>
      </c>
      <c r="P60" s="319"/>
      <c r="Q60" s="319"/>
      <c r="R60" s="319">
        <v>348.49639200000001</v>
      </c>
      <c r="S60" s="320">
        <f t="shared" si="22"/>
        <v>0.98772398652318227</v>
      </c>
      <c r="T60" s="320"/>
      <c r="U60" s="320">
        <f t="shared" si="23"/>
        <v>1.0032304484885655</v>
      </c>
      <c r="V60" s="320"/>
      <c r="W60" s="320"/>
      <c r="X60" s="320"/>
      <c r="Y60" s="320">
        <f t="shared" si="14"/>
        <v>0.8933414066598423</v>
      </c>
    </row>
    <row r="61" spans="1:25" ht="15.95" customHeight="1">
      <c r="A61" s="317" t="s">
        <v>319</v>
      </c>
      <c r="B61" s="318" t="s">
        <v>285</v>
      </c>
      <c r="C61" s="319">
        <f t="shared" si="15"/>
        <v>4635.5676240000003</v>
      </c>
      <c r="D61" s="319"/>
      <c r="E61" s="319">
        <v>3827.9351200000001</v>
      </c>
      <c r="F61" s="319"/>
      <c r="G61" s="319">
        <f t="shared" si="11"/>
        <v>0</v>
      </c>
      <c r="H61" s="319"/>
      <c r="I61" s="319"/>
      <c r="J61" s="319">
        <v>807.63250400000004</v>
      </c>
      <c r="K61" s="319">
        <f t="shared" si="28"/>
        <v>4485.3751240000001</v>
      </c>
      <c r="L61" s="319"/>
      <c r="M61" s="319">
        <v>4011.162656</v>
      </c>
      <c r="N61" s="319"/>
      <c r="O61" s="319">
        <f t="shared" si="16"/>
        <v>0</v>
      </c>
      <c r="P61" s="319"/>
      <c r="Q61" s="319"/>
      <c r="R61" s="319">
        <v>474.212468</v>
      </c>
      <c r="S61" s="320">
        <f t="shared" si="22"/>
        <v>0.96759997648995577</v>
      </c>
      <c r="T61" s="320"/>
      <c r="U61" s="320">
        <f t="shared" si="23"/>
        <v>1.0478658938190153</v>
      </c>
      <c r="V61" s="320"/>
      <c r="W61" s="320"/>
      <c r="X61" s="320"/>
      <c r="Y61" s="320">
        <f t="shared" si="14"/>
        <v>0.5871636736403566</v>
      </c>
    </row>
    <row r="62" spans="1:25" ht="15.95" customHeight="1">
      <c r="A62" s="317" t="s">
        <v>320</v>
      </c>
      <c r="B62" s="318" t="s">
        <v>286</v>
      </c>
      <c r="C62" s="319">
        <f t="shared" si="15"/>
        <v>3513.315333</v>
      </c>
      <c r="D62" s="319"/>
      <c r="E62" s="319">
        <v>3417.0218049999999</v>
      </c>
      <c r="F62" s="319"/>
      <c r="G62" s="319">
        <f t="shared" si="11"/>
        <v>0</v>
      </c>
      <c r="H62" s="319"/>
      <c r="I62" s="319"/>
      <c r="J62" s="319">
        <v>96.293527999999995</v>
      </c>
      <c r="K62" s="319">
        <f t="shared" si="28"/>
        <v>3490.3143329999998</v>
      </c>
      <c r="L62" s="319"/>
      <c r="M62" s="319">
        <v>3415.6069219999999</v>
      </c>
      <c r="N62" s="319"/>
      <c r="O62" s="319">
        <f t="shared" si="16"/>
        <v>0</v>
      </c>
      <c r="P62" s="319"/>
      <c r="Q62" s="319"/>
      <c r="R62" s="319">
        <v>74.707410999999993</v>
      </c>
      <c r="S62" s="320">
        <f t="shared" si="22"/>
        <v>0.99345319226431072</v>
      </c>
      <c r="T62" s="320"/>
      <c r="U62" s="320">
        <f t="shared" si="23"/>
        <v>0.99958593094198889</v>
      </c>
      <c r="V62" s="320"/>
      <c r="W62" s="320"/>
      <c r="X62" s="320"/>
      <c r="Y62" s="320">
        <f t="shared" si="14"/>
        <v>0.77583003293845454</v>
      </c>
    </row>
    <row r="63" spans="1:25" ht="15.95" customHeight="1">
      <c r="A63" s="317" t="s">
        <v>321</v>
      </c>
      <c r="B63" s="318" t="s">
        <v>287</v>
      </c>
      <c r="C63" s="319">
        <f t="shared" si="15"/>
        <v>5904.9055939999998</v>
      </c>
      <c r="D63" s="319"/>
      <c r="E63" s="319">
        <v>5183.0696250000001</v>
      </c>
      <c r="F63" s="319"/>
      <c r="G63" s="319">
        <f t="shared" si="11"/>
        <v>0</v>
      </c>
      <c r="H63" s="319"/>
      <c r="I63" s="319"/>
      <c r="J63" s="319">
        <v>721.83596899999998</v>
      </c>
      <c r="K63" s="319">
        <f t="shared" si="28"/>
        <v>5893.3385939999998</v>
      </c>
      <c r="L63" s="319"/>
      <c r="M63" s="319">
        <v>5438.6764499999999</v>
      </c>
      <c r="N63" s="319"/>
      <c r="O63" s="319">
        <f t="shared" si="16"/>
        <v>0</v>
      </c>
      <c r="P63" s="319"/>
      <c r="Q63" s="319"/>
      <c r="R63" s="319">
        <v>454.66214400000001</v>
      </c>
      <c r="S63" s="320">
        <f t="shared" si="22"/>
        <v>0.99804112024894132</v>
      </c>
      <c r="T63" s="320"/>
      <c r="U63" s="320">
        <f t="shared" si="23"/>
        <v>1.0493157228232295</v>
      </c>
      <c r="V63" s="320"/>
      <c r="W63" s="320"/>
      <c r="X63" s="320"/>
      <c r="Y63" s="320">
        <f t="shared" si="14"/>
        <v>0.62986906101377726</v>
      </c>
    </row>
    <row r="64" spans="1:25" ht="15.95" customHeight="1">
      <c r="A64" s="317" t="s">
        <v>322</v>
      </c>
      <c r="B64" s="318" t="s">
        <v>288</v>
      </c>
      <c r="C64" s="319">
        <f t="shared" si="15"/>
        <v>6836.8451330000007</v>
      </c>
      <c r="D64" s="319"/>
      <c r="E64" s="319">
        <v>5975.5543690000004</v>
      </c>
      <c r="F64" s="319"/>
      <c r="G64" s="319">
        <f t="shared" si="11"/>
        <v>0</v>
      </c>
      <c r="H64" s="319"/>
      <c r="I64" s="319"/>
      <c r="J64" s="319">
        <v>861.29076399999997</v>
      </c>
      <c r="K64" s="319">
        <f t="shared" si="28"/>
        <v>6774.9346329999998</v>
      </c>
      <c r="L64" s="319"/>
      <c r="M64" s="319">
        <v>6026.1414199999999</v>
      </c>
      <c r="N64" s="319"/>
      <c r="O64" s="319">
        <f t="shared" si="16"/>
        <v>0</v>
      </c>
      <c r="P64" s="319"/>
      <c r="Q64" s="319"/>
      <c r="R64" s="319">
        <v>748.79321300000004</v>
      </c>
      <c r="S64" s="320">
        <f t="shared" si="22"/>
        <v>0.99094458060762969</v>
      </c>
      <c r="T64" s="320"/>
      <c r="U64" s="320">
        <f t="shared" si="23"/>
        <v>1.0084656665936194</v>
      </c>
      <c r="V64" s="320"/>
      <c r="W64" s="320"/>
      <c r="X64" s="320"/>
      <c r="Y64" s="320">
        <f t="shared" si="14"/>
        <v>0.86938493282159479</v>
      </c>
    </row>
    <row r="65" spans="1:25" ht="15.95" customHeight="1">
      <c r="A65" s="317" t="s">
        <v>323</v>
      </c>
      <c r="B65" s="318" t="s">
        <v>289</v>
      </c>
      <c r="C65" s="319">
        <f t="shared" si="15"/>
        <v>7157.7264139999997</v>
      </c>
      <c r="D65" s="319"/>
      <c r="E65" s="319">
        <v>7112.9680449999996</v>
      </c>
      <c r="F65" s="319"/>
      <c r="G65" s="319">
        <f t="shared" si="11"/>
        <v>0</v>
      </c>
      <c r="H65" s="319"/>
      <c r="I65" s="319"/>
      <c r="J65" s="319">
        <v>44.758369000000002</v>
      </c>
      <c r="K65" s="319">
        <f t="shared" si="28"/>
        <v>7157.7264139999997</v>
      </c>
      <c r="L65" s="319"/>
      <c r="M65" s="319">
        <v>7010.6115140000002</v>
      </c>
      <c r="N65" s="319"/>
      <c r="O65" s="319">
        <f t="shared" si="16"/>
        <v>0</v>
      </c>
      <c r="P65" s="319"/>
      <c r="Q65" s="319"/>
      <c r="R65" s="319">
        <v>147.11490000000001</v>
      </c>
      <c r="S65" s="320">
        <f t="shared" si="22"/>
        <v>1</v>
      </c>
      <c r="T65" s="320"/>
      <c r="U65" s="320">
        <f t="shared" si="23"/>
        <v>0.98560987054174243</v>
      </c>
      <c r="V65" s="320"/>
      <c r="W65" s="320"/>
      <c r="X65" s="320"/>
      <c r="Y65" s="320">
        <f t="shared" si="14"/>
        <v>3.2868690992739258</v>
      </c>
    </row>
    <row r="66" spans="1:25" ht="15.95" customHeight="1">
      <c r="A66" s="317" t="s">
        <v>402</v>
      </c>
      <c r="B66" s="318" t="s">
        <v>290</v>
      </c>
      <c r="C66" s="319">
        <f t="shared" si="15"/>
        <v>3308.126557</v>
      </c>
      <c r="D66" s="319"/>
      <c r="E66" s="319">
        <v>3117.6752390000001</v>
      </c>
      <c r="F66" s="319"/>
      <c r="G66" s="319">
        <f t="shared" si="11"/>
        <v>0</v>
      </c>
      <c r="H66" s="319"/>
      <c r="I66" s="319"/>
      <c r="J66" s="319">
        <v>190.45131799999999</v>
      </c>
      <c r="K66" s="319">
        <f t="shared" si="28"/>
        <v>3308.126557</v>
      </c>
      <c r="L66" s="319"/>
      <c r="M66" s="319">
        <v>3308.126557</v>
      </c>
      <c r="N66" s="319"/>
      <c r="O66" s="319">
        <f t="shared" si="16"/>
        <v>0</v>
      </c>
      <c r="P66" s="319"/>
      <c r="Q66" s="319"/>
      <c r="R66" s="319"/>
      <c r="S66" s="320">
        <f t="shared" si="22"/>
        <v>1</v>
      </c>
      <c r="T66" s="320"/>
      <c r="U66" s="320">
        <f t="shared" si="23"/>
        <v>1.0610876064375094</v>
      </c>
      <c r="V66" s="320"/>
      <c r="W66" s="320"/>
      <c r="X66" s="320"/>
      <c r="Y66" s="320">
        <f t="shared" si="14"/>
        <v>0</v>
      </c>
    </row>
    <row r="67" spans="1:25" ht="15.95" customHeight="1">
      <c r="A67" s="317" t="s">
        <v>324</v>
      </c>
      <c r="B67" s="318" t="s">
        <v>291</v>
      </c>
      <c r="C67" s="319">
        <f t="shared" si="15"/>
        <v>3168.3553940000002</v>
      </c>
      <c r="D67" s="319"/>
      <c r="E67" s="319">
        <v>2956.787675</v>
      </c>
      <c r="F67" s="319"/>
      <c r="G67" s="319">
        <f t="shared" si="11"/>
        <v>0</v>
      </c>
      <c r="H67" s="319"/>
      <c r="I67" s="319"/>
      <c r="J67" s="319">
        <v>211.56771900000001</v>
      </c>
      <c r="K67" s="319">
        <f t="shared" si="28"/>
        <v>3168.3553940000002</v>
      </c>
      <c r="L67" s="319"/>
      <c r="M67" s="319">
        <v>3168.3553940000002</v>
      </c>
      <c r="N67" s="319"/>
      <c r="O67" s="319">
        <f t="shared" si="16"/>
        <v>0</v>
      </c>
      <c r="P67" s="319"/>
      <c r="Q67" s="319"/>
      <c r="R67" s="319"/>
      <c r="S67" s="320">
        <f t="shared" si="22"/>
        <v>1</v>
      </c>
      <c r="T67" s="320"/>
      <c r="U67" s="320">
        <f t="shared" si="23"/>
        <v>1.0715532335273279</v>
      </c>
      <c r="V67" s="320"/>
      <c r="W67" s="320"/>
      <c r="X67" s="320"/>
      <c r="Y67" s="320">
        <f t="shared" si="14"/>
        <v>0</v>
      </c>
    </row>
    <row r="68" spans="1:25" ht="15.95" customHeight="1">
      <c r="A68" s="317" t="s">
        <v>325</v>
      </c>
      <c r="B68" s="318" t="s">
        <v>292</v>
      </c>
      <c r="C68" s="319">
        <f t="shared" si="15"/>
        <v>6727.0081249999994</v>
      </c>
      <c r="D68" s="319"/>
      <c r="E68" s="319">
        <v>6592.4776549999997</v>
      </c>
      <c r="F68" s="319"/>
      <c r="G68" s="319">
        <f t="shared" si="11"/>
        <v>0</v>
      </c>
      <c r="H68" s="319"/>
      <c r="I68" s="319"/>
      <c r="J68" s="319">
        <v>134.53047000000001</v>
      </c>
      <c r="K68" s="319">
        <f t="shared" si="28"/>
        <v>6726.0081250000003</v>
      </c>
      <c r="L68" s="319"/>
      <c r="M68" s="319">
        <v>5354.7744700000003</v>
      </c>
      <c r="N68" s="319"/>
      <c r="O68" s="319">
        <f t="shared" si="16"/>
        <v>0</v>
      </c>
      <c r="P68" s="319"/>
      <c r="Q68" s="319"/>
      <c r="R68" s="319">
        <v>1371.233655</v>
      </c>
      <c r="S68" s="320">
        <f t="shared" si="22"/>
        <v>0.99985134550435839</v>
      </c>
      <c r="T68" s="320"/>
      <c r="U68" s="320">
        <f t="shared" si="23"/>
        <v>0.81225523243734077</v>
      </c>
      <c r="V68" s="320"/>
      <c r="W68" s="320"/>
      <c r="X68" s="320"/>
      <c r="Y68" s="320">
        <f t="shared" si="14"/>
        <v>10.192736671476728</v>
      </c>
    </row>
    <row r="69" spans="1:25" ht="15.95" customHeight="1">
      <c r="A69" s="317" t="s">
        <v>403</v>
      </c>
      <c r="B69" s="318" t="s">
        <v>293</v>
      </c>
      <c r="C69" s="319">
        <f t="shared" si="15"/>
        <v>6549.8463519999996</v>
      </c>
      <c r="D69" s="319"/>
      <c r="E69" s="319">
        <v>6148.834347</v>
      </c>
      <c r="F69" s="319"/>
      <c r="G69" s="319">
        <f t="shared" si="11"/>
        <v>0</v>
      </c>
      <c r="H69" s="319"/>
      <c r="I69" s="319"/>
      <c r="J69" s="319">
        <v>401.01200499999999</v>
      </c>
      <c r="K69" s="319">
        <f t="shared" si="28"/>
        <v>6549.8463520000005</v>
      </c>
      <c r="L69" s="319"/>
      <c r="M69" s="319">
        <v>6226.0207190000001</v>
      </c>
      <c r="N69" s="319"/>
      <c r="O69" s="319">
        <f t="shared" si="16"/>
        <v>0</v>
      </c>
      <c r="P69" s="319"/>
      <c r="Q69" s="319"/>
      <c r="R69" s="319">
        <v>323.82563299999998</v>
      </c>
      <c r="S69" s="320">
        <f t="shared" si="22"/>
        <v>1.0000000000000002</v>
      </c>
      <c r="T69" s="320"/>
      <c r="U69" s="320">
        <f t="shared" si="23"/>
        <v>1.0125530088540537</v>
      </c>
      <c r="V69" s="320"/>
      <c r="W69" s="320"/>
      <c r="X69" s="320"/>
      <c r="Y69" s="320">
        <f t="shared" si="14"/>
        <v>0.80752104416425141</v>
      </c>
    </row>
    <row r="70" spans="1:25" ht="15.95" customHeight="1">
      <c r="A70" s="317" t="s">
        <v>326</v>
      </c>
      <c r="B70" s="318" t="s">
        <v>294</v>
      </c>
      <c r="C70" s="319">
        <f t="shared" si="15"/>
        <v>5611.6881620000004</v>
      </c>
      <c r="D70" s="319"/>
      <c r="E70" s="319">
        <v>5553.537926</v>
      </c>
      <c r="F70" s="319"/>
      <c r="G70" s="319">
        <f t="shared" si="11"/>
        <v>0</v>
      </c>
      <c r="H70" s="319"/>
      <c r="I70" s="319"/>
      <c r="J70" s="319">
        <v>58.150236</v>
      </c>
      <c r="K70" s="319">
        <f t="shared" si="28"/>
        <v>5611.6881620000004</v>
      </c>
      <c r="L70" s="319"/>
      <c r="M70" s="319">
        <v>5579.008656</v>
      </c>
      <c r="N70" s="319"/>
      <c r="O70" s="319">
        <f t="shared" si="16"/>
        <v>0</v>
      </c>
      <c r="P70" s="319"/>
      <c r="Q70" s="319"/>
      <c r="R70" s="319">
        <v>32.679506000000003</v>
      </c>
      <c r="S70" s="320">
        <f t="shared" si="22"/>
        <v>1</v>
      </c>
      <c r="T70" s="320"/>
      <c r="U70" s="320">
        <f t="shared" si="23"/>
        <v>1.0045863970570461</v>
      </c>
      <c r="V70" s="320"/>
      <c r="W70" s="320"/>
      <c r="X70" s="320"/>
      <c r="Y70" s="320">
        <f t="shared" si="14"/>
        <v>0.56198406486260866</v>
      </c>
    </row>
    <row r="71" spans="1:25" ht="15.95" customHeight="1">
      <c r="A71" s="317" t="s">
        <v>327</v>
      </c>
      <c r="B71" s="318" t="s">
        <v>295</v>
      </c>
      <c r="C71" s="319">
        <f t="shared" si="15"/>
        <v>11989.33108</v>
      </c>
      <c r="D71" s="319"/>
      <c r="E71" s="319">
        <v>11948.154286999999</v>
      </c>
      <c r="F71" s="319"/>
      <c r="G71" s="319">
        <f t="shared" si="11"/>
        <v>0</v>
      </c>
      <c r="H71" s="319"/>
      <c r="I71" s="319"/>
      <c r="J71" s="319">
        <v>41.176793000000004</v>
      </c>
      <c r="K71" s="319">
        <f t="shared" si="28"/>
        <v>11979.19908</v>
      </c>
      <c r="L71" s="319"/>
      <c r="M71" s="319">
        <v>11845.089002000001</v>
      </c>
      <c r="N71" s="319"/>
      <c r="O71" s="319">
        <f t="shared" si="16"/>
        <v>0</v>
      </c>
      <c r="P71" s="319"/>
      <c r="Q71" s="319"/>
      <c r="R71" s="319">
        <v>134.11007799999999</v>
      </c>
      <c r="S71" s="320">
        <f t="shared" si="22"/>
        <v>0.99915491532159773</v>
      </c>
      <c r="T71" s="320"/>
      <c r="U71" s="320">
        <f t="shared" si="23"/>
        <v>0.99137395764029113</v>
      </c>
      <c r="V71" s="320"/>
      <c r="W71" s="320"/>
      <c r="X71" s="320"/>
      <c r="Y71" s="320">
        <f t="shared" si="14"/>
        <v>3.2569335353532747</v>
      </c>
    </row>
    <row r="72" spans="1:25" ht="15.95" customHeight="1">
      <c r="A72" s="317" t="s">
        <v>328</v>
      </c>
      <c r="B72" s="318" t="s">
        <v>296</v>
      </c>
      <c r="C72" s="319">
        <f t="shared" si="15"/>
        <v>7756.895235</v>
      </c>
      <c r="D72" s="319"/>
      <c r="E72" s="319">
        <v>7650.2848100000001</v>
      </c>
      <c r="F72" s="319"/>
      <c r="G72" s="319">
        <f t="shared" si="11"/>
        <v>0</v>
      </c>
      <c r="H72" s="319"/>
      <c r="I72" s="319"/>
      <c r="J72" s="319">
        <v>106.61042500000001</v>
      </c>
      <c r="K72" s="319">
        <f t="shared" si="28"/>
        <v>7754.8826790000003</v>
      </c>
      <c r="L72" s="319"/>
      <c r="M72" s="319">
        <v>7669.0944749999999</v>
      </c>
      <c r="N72" s="319"/>
      <c r="O72" s="319">
        <f t="shared" si="16"/>
        <v>0</v>
      </c>
      <c r="P72" s="319"/>
      <c r="Q72" s="319"/>
      <c r="R72" s="319">
        <v>85.788203999999993</v>
      </c>
      <c r="S72" s="320">
        <f t="shared" si="22"/>
        <v>0.99974054619289965</v>
      </c>
      <c r="T72" s="320"/>
      <c r="U72" s="320">
        <f t="shared" si="23"/>
        <v>1.0024586882014397</v>
      </c>
      <c r="V72" s="320"/>
      <c r="W72" s="320"/>
      <c r="X72" s="320"/>
      <c r="Y72" s="320">
        <f t="shared" si="14"/>
        <v>0.80468869718885361</v>
      </c>
    </row>
    <row r="73" spans="1:25" ht="15.95" customHeight="1">
      <c r="A73" s="317" t="s">
        <v>329</v>
      </c>
      <c r="B73" s="318" t="s">
        <v>297</v>
      </c>
      <c r="C73" s="319">
        <f t="shared" si="15"/>
        <v>5323.5504149999997</v>
      </c>
      <c r="D73" s="319"/>
      <c r="E73" s="319">
        <v>5228.1254849999996</v>
      </c>
      <c r="F73" s="319"/>
      <c r="G73" s="319">
        <f t="shared" si="11"/>
        <v>0</v>
      </c>
      <c r="H73" s="319"/>
      <c r="I73" s="319"/>
      <c r="J73" s="319">
        <v>95.424930000000003</v>
      </c>
      <c r="K73" s="319">
        <f t="shared" si="28"/>
        <v>5316.9946369999998</v>
      </c>
      <c r="L73" s="319"/>
      <c r="M73" s="319">
        <v>5232.0699329999998</v>
      </c>
      <c r="N73" s="319"/>
      <c r="O73" s="319">
        <f t="shared" si="16"/>
        <v>0</v>
      </c>
      <c r="P73" s="319"/>
      <c r="Q73" s="319"/>
      <c r="R73" s="319">
        <v>84.924704000000006</v>
      </c>
      <c r="S73" s="320">
        <f t="shared" si="22"/>
        <v>0.9987685327480833</v>
      </c>
      <c r="T73" s="320"/>
      <c r="U73" s="320">
        <f t="shared" si="23"/>
        <v>1.0007544669712534</v>
      </c>
      <c r="V73" s="320"/>
      <c r="W73" s="320"/>
      <c r="X73" s="320"/>
      <c r="Y73" s="320">
        <f t="shared" si="14"/>
        <v>0.88996349276860887</v>
      </c>
    </row>
    <row r="74" spans="1:25" ht="15.95" customHeight="1">
      <c r="A74" s="317" t="s">
        <v>330</v>
      </c>
      <c r="B74" s="318" t="s">
        <v>298</v>
      </c>
      <c r="C74" s="319">
        <f t="shared" si="15"/>
        <v>9362.3911210000006</v>
      </c>
      <c r="D74" s="319"/>
      <c r="E74" s="319">
        <v>8425.5844319999997</v>
      </c>
      <c r="F74" s="319"/>
      <c r="G74" s="319">
        <f t="shared" si="11"/>
        <v>0</v>
      </c>
      <c r="H74" s="319"/>
      <c r="I74" s="319"/>
      <c r="J74" s="319">
        <v>936.80668900000001</v>
      </c>
      <c r="K74" s="319">
        <f t="shared" si="28"/>
        <v>9328.4350450000002</v>
      </c>
      <c r="L74" s="319"/>
      <c r="M74" s="319">
        <v>8883.3865079999996</v>
      </c>
      <c r="N74" s="319"/>
      <c r="O74" s="319">
        <f t="shared" ref="O74:O113" si="29">P74+Q74</f>
        <v>0</v>
      </c>
      <c r="P74" s="319"/>
      <c r="Q74" s="319"/>
      <c r="R74" s="319">
        <v>445.04853700000001</v>
      </c>
      <c r="S74" s="320">
        <f t="shared" si="22"/>
        <v>0.996373140626027</v>
      </c>
      <c r="T74" s="320"/>
      <c r="U74" s="320">
        <f t="shared" si="23"/>
        <v>1.0543347562053129</v>
      </c>
      <c r="V74" s="320"/>
      <c r="W74" s="320"/>
      <c r="X74" s="320"/>
      <c r="Y74" s="320">
        <f t="shared" si="14"/>
        <v>0.47506976863612044</v>
      </c>
    </row>
    <row r="75" spans="1:25" ht="15.95" customHeight="1">
      <c r="A75" s="317" t="s">
        <v>331</v>
      </c>
      <c r="B75" s="318" t="s">
        <v>397</v>
      </c>
      <c r="C75" s="319">
        <f t="shared" si="15"/>
        <v>9281.4937719999998</v>
      </c>
      <c r="D75" s="319"/>
      <c r="E75" s="319">
        <v>9267.274222</v>
      </c>
      <c r="F75" s="319"/>
      <c r="G75" s="319">
        <f t="shared" si="11"/>
        <v>0</v>
      </c>
      <c r="H75" s="319"/>
      <c r="I75" s="319"/>
      <c r="J75" s="319">
        <v>14.21955</v>
      </c>
      <c r="K75" s="319">
        <f t="shared" si="28"/>
        <v>9246.0435720000005</v>
      </c>
      <c r="L75" s="319"/>
      <c r="M75" s="319">
        <v>9234.3991299999998</v>
      </c>
      <c r="N75" s="319"/>
      <c r="O75" s="319">
        <f t="shared" si="29"/>
        <v>0</v>
      </c>
      <c r="P75" s="319"/>
      <c r="Q75" s="319"/>
      <c r="R75" s="319">
        <v>11.644442</v>
      </c>
      <c r="S75" s="320">
        <f t="shared" si="22"/>
        <v>0.99618055014948736</v>
      </c>
      <c r="T75" s="320"/>
      <c r="U75" s="320">
        <f t="shared" si="23"/>
        <v>0.99645256078405919</v>
      </c>
      <c r="V75" s="320"/>
      <c r="W75" s="320"/>
      <c r="X75" s="320"/>
      <c r="Y75" s="320">
        <f t="shared" si="14"/>
        <v>0.81890369245158956</v>
      </c>
    </row>
    <row r="76" spans="1:25" ht="15.95" customHeight="1">
      <c r="A76" s="317" t="s">
        <v>332</v>
      </c>
      <c r="B76" s="318" t="s">
        <v>487</v>
      </c>
      <c r="C76" s="319">
        <f t="shared" si="15"/>
        <v>6287.229617</v>
      </c>
      <c r="D76" s="319"/>
      <c r="E76" s="319">
        <v>6188.663466</v>
      </c>
      <c r="F76" s="319"/>
      <c r="G76" s="319">
        <f t="shared" si="11"/>
        <v>0</v>
      </c>
      <c r="H76" s="319"/>
      <c r="I76" s="319"/>
      <c r="J76" s="319">
        <v>98.566151000000005</v>
      </c>
      <c r="K76" s="319">
        <f t="shared" si="28"/>
        <v>6127.2432829999998</v>
      </c>
      <c r="L76" s="319"/>
      <c r="M76" s="319">
        <v>6046.8599539999996</v>
      </c>
      <c r="N76" s="319"/>
      <c r="O76" s="319">
        <f t="shared" si="29"/>
        <v>0</v>
      </c>
      <c r="P76" s="319"/>
      <c r="Q76" s="319"/>
      <c r="R76" s="319">
        <v>80.383329000000003</v>
      </c>
      <c r="S76" s="320">
        <f t="shared" si="22"/>
        <v>0.97455376314435627</v>
      </c>
      <c r="T76" s="320"/>
      <c r="U76" s="320">
        <f t="shared" si="23"/>
        <v>0.97708656921174386</v>
      </c>
      <c r="V76" s="320"/>
      <c r="W76" s="320"/>
      <c r="X76" s="320"/>
      <c r="Y76" s="320">
        <f t="shared" ref="Y76:Y86" si="30">R76/J76</f>
        <v>0.81552671159899504</v>
      </c>
    </row>
    <row r="77" spans="1:25" ht="15.95" customHeight="1">
      <c r="A77" s="317" t="s">
        <v>333</v>
      </c>
      <c r="B77" s="318" t="s">
        <v>411</v>
      </c>
      <c r="C77" s="319">
        <f t="shared" si="15"/>
        <v>5789.2719190000007</v>
      </c>
      <c r="D77" s="319"/>
      <c r="E77" s="319">
        <v>5603.2243930000004</v>
      </c>
      <c r="F77" s="319"/>
      <c r="G77" s="319">
        <f t="shared" si="11"/>
        <v>0</v>
      </c>
      <c r="H77" s="319"/>
      <c r="I77" s="319"/>
      <c r="J77" s="319">
        <v>186.047526</v>
      </c>
      <c r="K77" s="319">
        <f t="shared" si="28"/>
        <v>5717.6769189999995</v>
      </c>
      <c r="L77" s="319"/>
      <c r="M77" s="319">
        <v>5549.2721039999997</v>
      </c>
      <c r="N77" s="319"/>
      <c r="O77" s="319">
        <f t="shared" si="29"/>
        <v>0</v>
      </c>
      <c r="P77" s="319"/>
      <c r="Q77" s="319"/>
      <c r="R77" s="319">
        <v>168.40481500000001</v>
      </c>
      <c r="S77" s="320">
        <f t="shared" si="22"/>
        <v>0.9876331599203293</v>
      </c>
      <c r="T77" s="320"/>
      <c r="U77" s="320">
        <f t="shared" si="23"/>
        <v>0.99037120678811252</v>
      </c>
      <c r="V77" s="320"/>
      <c r="W77" s="320"/>
      <c r="X77" s="320"/>
      <c r="Y77" s="320">
        <f t="shared" si="30"/>
        <v>0.90517094540671295</v>
      </c>
    </row>
    <row r="78" spans="1:25" ht="15.95" customHeight="1">
      <c r="A78" s="317" t="s">
        <v>334</v>
      </c>
      <c r="B78" s="318" t="s">
        <v>299</v>
      </c>
      <c r="C78" s="319">
        <f t="shared" si="15"/>
        <v>6994.7382189999998</v>
      </c>
      <c r="D78" s="319"/>
      <c r="E78" s="319">
        <v>6938.6159010000001</v>
      </c>
      <c r="F78" s="319"/>
      <c r="G78" s="319">
        <f t="shared" ref="G78:G100" si="31">SUM(H78:I78)</f>
        <v>0</v>
      </c>
      <c r="H78" s="319"/>
      <c r="I78" s="319"/>
      <c r="J78" s="319">
        <v>56.122318</v>
      </c>
      <c r="K78" s="319">
        <f t="shared" si="28"/>
        <v>6947.7233189999997</v>
      </c>
      <c r="L78" s="319"/>
      <c r="M78" s="319">
        <v>6886.3477480000001</v>
      </c>
      <c r="N78" s="319"/>
      <c r="O78" s="319">
        <f t="shared" si="29"/>
        <v>0</v>
      </c>
      <c r="P78" s="319"/>
      <c r="Q78" s="319"/>
      <c r="R78" s="319">
        <v>61.375571000000001</v>
      </c>
      <c r="S78" s="320">
        <f t="shared" si="22"/>
        <v>0.99327853330203375</v>
      </c>
      <c r="T78" s="320"/>
      <c r="U78" s="320">
        <f t="shared" ref="U78:U110" si="32">M78/E78</f>
        <v>0.99246706349713532</v>
      </c>
      <c r="V78" s="320"/>
      <c r="W78" s="320"/>
      <c r="X78" s="320"/>
      <c r="Y78" s="320">
        <f t="shared" si="30"/>
        <v>1.0936036355447756</v>
      </c>
    </row>
    <row r="79" spans="1:25" ht="15.95" customHeight="1">
      <c r="A79" s="317" t="s">
        <v>335</v>
      </c>
      <c r="B79" s="318" t="s">
        <v>398</v>
      </c>
      <c r="C79" s="319">
        <f t="shared" ref="C79:C114" si="33">D79+E79+F79+G79+J79</f>
        <v>5878.6547850000006</v>
      </c>
      <c r="D79" s="319"/>
      <c r="E79" s="319">
        <v>5826.1136530000003</v>
      </c>
      <c r="F79" s="319"/>
      <c r="G79" s="319">
        <f t="shared" si="31"/>
        <v>0</v>
      </c>
      <c r="H79" s="319"/>
      <c r="I79" s="319"/>
      <c r="J79" s="319">
        <v>52.541131999999998</v>
      </c>
      <c r="K79" s="319">
        <f t="shared" si="28"/>
        <v>5810.4882850000004</v>
      </c>
      <c r="L79" s="319"/>
      <c r="M79" s="319">
        <v>5808.425526</v>
      </c>
      <c r="N79" s="319"/>
      <c r="O79" s="319">
        <f t="shared" si="29"/>
        <v>0</v>
      </c>
      <c r="P79" s="319"/>
      <c r="Q79" s="319"/>
      <c r="R79" s="319">
        <v>2.0627589999999998</v>
      </c>
      <c r="S79" s="320">
        <f t="shared" si="22"/>
        <v>0.98840440500538762</v>
      </c>
      <c r="T79" s="320"/>
      <c r="U79" s="320">
        <f t="shared" si="32"/>
        <v>0.99696399211318298</v>
      </c>
      <c r="V79" s="320"/>
      <c r="W79" s="320"/>
      <c r="X79" s="320"/>
      <c r="Y79" s="320">
        <f t="shared" si="30"/>
        <v>3.9259888804831992E-2</v>
      </c>
    </row>
    <row r="80" spans="1:25" ht="15.95" customHeight="1">
      <c r="A80" s="317" t="s">
        <v>336</v>
      </c>
      <c r="B80" s="318" t="s">
        <v>300</v>
      </c>
      <c r="C80" s="319">
        <f t="shared" si="33"/>
        <v>4670.7212829999999</v>
      </c>
      <c r="D80" s="319"/>
      <c r="E80" s="319">
        <v>4661.2919000000002</v>
      </c>
      <c r="F80" s="319"/>
      <c r="G80" s="319">
        <f t="shared" si="31"/>
        <v>0</v>
      </c>
      <c r="H80" s="319"/>
      <c r="I80" s="319"/>
      <c r="J80" s="319">
        <v>9.4293829999999996</v>
      </c>
      <c r="K80" s="319">
        <f t="shared" si="28"/>
        <v>4611.4953829999995</v>
      </c>
      <c r="L80" s="319"/>
      <c r="M80" s="319">
        <v>4604.9025069999998</v>
      </c>
      <c r="N80" s="319"/>
      <c r="O80" s="319">
        <f t="shared" si="29"/>
        <v>0</v>
      </c>
      <c r="P80" s="319"/>
      <c r="Q80" s="319"/>
      <c r="R80" s="319">
        <v>6.5928760000000004</v>
      </c>
      <c r="S80" s="320">
        <f t="shared" si="22"/>
        <v>0.98731975290078544</v>
      </c>
      <c r="T80" s="320"/>
      <c r="U80" s="320">
        <f t="shared" si="32"/>
        <v>0.98790262566478615</v>
      </c>
      <c r="V80" s="320"/>
      <c r="W80" s="320"/>
      <c r="X80" s="320"/>
      <c r="Y80" s="320">
        <f t="shared" si="30"/>
        <v>0.69918424142915825</v>
      </c>
    </row>
    <row r="81" spans="1:25" ht="15.95" customHeight="1">
      <c r="A81" s="317" t="s">
        <v>337</v>
      </c>
      <c r="B81" s="318" t="s">
        <v>486</v>
      </c>
      <c r="C81" s="319">
        <f t="shared" si="33"/>
        <v>6985.0620289999997</v>
      </c>
      <c r="D81" s="319"/>
      <c r="E81" s="319">
        <v>6731.6487299999999</v>
      </c>
      <c r="F81" s="319"/>
      <c r="G81" s="319">
        <f t="shared" si="31"/>
        <v>0</v>
      </c>
      <c r="H81" s="319"/>
      <c r="I81" s="319"/>
      <c r="J81" s="319">
        <v>253.41329899999999</v>
      </c>
      <c r="K81" s="319">
        <f t="shared" si="28"/>
        <v>6896.499922</v>
      </c>
      <c r="L81" s="319"/>
      <c r="M81" s="319">
        <v>6445.0482849999999</v>
      </c>
      <c r="N81" s="319"/>
      <c r="O81" s="319">
        <f t="shared" si="29"/>
        <v>0</v>
      </c>
      <c r="P81" s="319"/>
      <c r="Q81" s="319"/>
      <c r="R81" s="319">
        <v>451.45163700000001</v>
      </c>
      <c r="S81" s="320">
        <f t="shared" si="22"/>
        <v>0.98732121395167072</v>
      </c>
      <c r="T81" s="320"/>
      <c r="U81" s="320">
        <f t="shared" si="32"/>
        <v>0.95742492567641746</v>
      </c>
      <c r="V81" s="320"/>
      <c r="W81" s="320"/>
      <c r="X81" s="320"/>
      <c r="Y81" s="320">
        <f t="shared" si="30"/>
        <v>1.7814836031947954</v>
      </c>
    </row>
    <row r="82" spans="1:25" ht="15.95" customHeight="1">
      <c r="A82" s="317" t="s">
        <v>338</v>
      </c>
      <c r="B82" s="318" t="s">
        <v>301</v>
      </c>
      <c r="C82" s="319">
        <f t="shared" si="33"/>
        <v>5193.7765569999992</v>
      </c>
      <c r="D82" s="319"/>
      <c r="E82" s="319">
        <v>4923.0527869999996</v>
      </c>
      <c r="F82" s="319"/>
      <c r="G82" s="319">
        <f t="shared" si="31"/>
        <v>0</v>
      </c>
      <c r="H82" s="319"/>
      <c r="I82" s="319"/>
      <c r="J82" s="319">
        <v>270.72377</v>
      </c>
      <c r="K82" s="319">
        <f t="shared" si="28"/>
        <v>5176.2922570000001</v>
      </c>
      <c r="L82" s="319"/>
      <c r="M82" s="319">
        <v>3990.4139369999998</v>
      </c>
      <c r="N82" s="319"/>
      <c r="O82" s="319">
        <f t="shared" si="29"/>
        <v>0</v>
      </c>
      <c r="P82" s="319"/>
      <c r="Q82" s="319"/>
      <c r="R82" s="319">
        <v>1185.87832</v>
      </c>
      <c r="S82" s="320">
        <f t="shared" si="22"/>
        <v>0.99663360566090686</v>
      </c>
      <c r="T82" s="320"/>
      <c r="U82" s="320">
        <f t="shared" si="32"/>
        <v>0.81055680482184522</v>
      </c>
      <c r="V82" s="320"/>
      <c r="W82" s="320"/>
      <c r="X82" s="320"/>
      <c r="Y82" s="320">
        <f t="shared" si="30"/>
        <v>4.380399696709306</v>
      </c>
    </row>
    <row r="83" spans="1:25" ht="15.95" customHeight="1">
      <c r="A83" s="317" t="s">
        <v>339</v>
      </c>
      <c r="B83" s="318" t="s">
        <v>302</v>
      </c>
      <c r="C83" s="319">
        <f t="shared" si="33"/>
        <v>3791.932656</v>
      </c>
      <c r="D83" s="319"/>
      <c r="E83" s="319">
        <v>3699.64984</v>
      </c>
      <c r="F83" s="319"/>
      <c r="G83" s="319">
        <f t="shared" si="31"/>
        <v>0</v>
      </c>
      <c r="H83" s="319"/>
      <c r="I83" s="319"/>
      <c r="J83" s="319">
        <v>92.282815999999997</v>
      </c>
      <c r="K83" s="319">
        <f t="shared" si="28"/>
        <v>3773.0856560000002</v>
      </c>
      <c r="L83" s="319"/>
      <c r="M83" s="319">
        <v>3765.4107760000002</v>
      </c>
      <c r="N83" s="319"/>
      <c r="O83" s="319">
        <f t="shared" si="29"/>
        <v>0</v>
      </c>
      <c r="P83" s="319"/>
      <c r="Q83" s="319"/>
      <c r="R83" s="319">
        <v>7.6748799999999999</v>
      </c>
      <c r="S83" s="320">
        <f t="shared" si="22"/>
        <v>0.99502971130824858</v>
      </c>
      <c r="T83" s="320"/>
      <c r="U83" s="320">
        <f t="shared" si="32"/>
        <v>1.0177749081248186</v>
      </c>
      <c r="V83" s="320"/>
      <c r="W83" s="320"/>
      <c r="X83" s="320"/>
      <c r="Y83" s="320">
        <f t="shared" si="30"/>
        <v>8.3166946270907038E-2</v>
      </c>
    </row>
    <row r="84" spans="1:25" ht="15.95" customHeight="1">
      <c r="A84" s="317" t="s">
        <v>340</v>
      </c>
      <c r="B84" s="318" t="s">
        <v>399</v>
      </c>
      <c r="C84" s="319">
        <f t="shared" si="33"/>
        <v>6310.851079</v>
      </c>
      <c r="D84" s="319"/>
      <c r="E84" s="319">
        <v>5894.1259369999998</v>
      </c>
      <c r="F84" s="319"/>
      <c r="G84" s="319">
        <f t="shared" si="31"/>
        <v>0</v>
      </c>
      <c r="H84" s="319"/>
      <c r="I84" s="319"/>
      <c r="J84" s="319">
        <v>416.72514200000001</v>
      </c>
      <c r="K84" s="319">
        <f t="shared" si="28"/>
        <v>6273.7214789999998</v>
      </c>
      <c r="L84" s="319"/>
      <c r="M84" s="319">
        <v>6064.2703119999996</v>
      </c>
      <c r="N84" s="319"/>
      <c r="O84" s="319">
        <f t="shared" si="29"/>
        <v>0</v>
      </c>
      <c r="P84" s="319"/>
      <c r="Q84" s="319"/>
      <c r="R84" s="319">
        <v>209.451167</v>
      </c>
      <c r="S84" s="320">
        <f t="shared" si="22"/>
        <v>0.99411654632074065</v>
      </c>
      <c r="T84" s="320"/>
      <c r="U84" s="320">
        <f t="shared" si="32"/>
        <v>1.0288667695292917</v>
      </c>
      <c r="V84" s="320"/>
      <c r="W84" s="320"/>
      <c r="X84" s="320"/>
      <c r="Y84" s="320">
        <f t="shared" si="30"/>
        <v>0.50261226379280954</v>
      </c>
    </row>
    <row r="85" spans="1:25" ht="15.95" customHeight="1">
      <c r="A85" s="317" t="s">
        <v>341</v>
      </c>
      <c r="B85" s="318" t="s">
        <v>303</v>
      </c>
      <c r="C85" s="319">
        <f t="shared" si="33"/>
        <v>10416.513991</v>
      </c>
      <c r="D85" s="319"/>
      <c r="E85" s="319">
        <v>10227.525433999999</v>
      </c>
      <c r="F85" s="319"/>
      <c r="G85" s="319">
        <f t="shared" si="31"/>
        <v>0</v>
      </c>
      <c r="H85" s="319"/>
      <c r="I85" s="319"/>
      <c r="J85" s="319">
        <v>188.98855699999999</v>
      </c>
      <c r="K85" s="319">
        <f t="shared" si="28"/>
        <v>10271.514147</v>
      </c>
      <c r="L85" s="319"/>
      <c r="M85" s="319">
        <v>10043.966178999999</v>
      </c>
      <c r="N85" s="319"/>
      <c r="O85" s="319">
        <f t="shared" si="29"/>
        <v>0</v>
      </c>
      <c r="P85" s="319"/>
      <c r="Q85" s="319"/>
      <c r="R85" s="319">
        <v>227.547968</v>
      </c>
      <c r="S85" s="320">
        <f t="shared" si="22"/>
        <v>0.98607981094968222</v>
      </c>
      <c r="T85" s="320"/>
      <c r="U85" s="320">
        <f t="shared" si="32"/>
        <v>0.98205242742396093</v>
      </c>
      <c r="V85" s="320"/>
      <c r="W85" s="320"/>
      <c r="X85" s="320"/>
      <c r="Y85" s="320">
        <f t="shared" si="30"/>
        <v>1.2040304006342564</v>
      </c>
    </row>
    <row r="86" spans="1:25" ht="15.95" customHeight="1">
      <c r="A86" s="317" t="s">
        <v>342</v>
      </c>
      <c r="B86" s="318" t="s">
        <v>396</v>
      </c>
      <c r="C86" s="319">
        <f t="shared" si="33"/>
        <v>6240.9375389999996</v>
      </c>
      <c r="D86" s="319"/>
      <c r="E86" s="319">
        <v>6144.8464089999998</v>
      </c>
      <c r="F86" s="319"/>
      <c r="G86" s="319">
        <f t="shared" si="31"/>
        <v>0</v>
      </c>
      <c r="H86" s="319"/>
      <c r="I86" s="319"/>
      <c r="J86" s="319">
        <v>96.091130000000007</v>
      </c>
      <c r="K86" s="319">
        <f t="shared" si="28"/>
        <v>6225.6403390000005</v>
      </c>
      <c r="L86" s="319"/>
      <c r="M86" s="319">
        <v>6202.9628050000001</v>
      </c>
      <c r="N86" s="319"/>
      <c r="O86" s="319">
        <f t="shared" si="29"/>
        <v>0</v>
      </c>
      <c r="P86" s="319"/>
      <c r="Q86" s="319"/>
      <c r="R86" s="319">
        <v>22.677534000000001</v>
      </c>
      <c r="S86" s="320">
        <f t="shared" si="22"/>
        <v>0.99754889391146673</v>
      </c>
      <c r="T86" s="320"/>
      <c r="U86" s="320">
        <f t="shared" si="32"/>
        <v>1.0094577459112535</v>
      </c>
      <c r="V86" s="320"/>
      <c r="W86" s="320"/>
      <c r="X86" s="320"/>
      <c r="Y86" s="320">
        <f t="shared" si="30"/>
        <v>0.23600028431344286</v>
      </c>
    </row>
    <row r="87" spans="1:25" ht="15.95" customHeight="1">
      <c r="A87" s="317" t="s">
        <v>343</v>
      </c>
      <c r="B87" s="318" t="s">
        <v>304</v>
      </c>
      <c r="C87" s="319">
        <f t="shared" si="33"/>
        <v>40</v>
      </c>
      <c r="D87" s="319"/>
      <c r="E87" s="319">
        <v>40</v>
      </c>
      <c r="F87" s="319"/>
      <c r="G87" s="319">
        <f t="shared" si="31"/>
        <v>0</v>
      </c>
      <c r="H87" s="319"/>
      <c r="I87" s="319"/>
      <c r="J87" s="319"/>
      <c r="K87" s="319">
        <f t="shared" si="28"/>
        <v>40</v>
      </c>
      <c r="L87" s="319"/>
      <c r="M87" s="319">
        <v>40</v>
      </c>
      <c r="N87" s="319"/>
      <c r="O87" s="319">
        <f t="shared" si="29"/>
        <v>0</v>
      </c>
      <c r="P87" s="319"/>
      <c r="Q87" s="319"/>
      <c r="R87" s="319"/>
      <c r="S87" s="320">
        <f t="shared" si="22"/>
        <v>1</v>
      </c>
      <c r="T87" s="320"/>
      <c r="U87" s="320">
        <f t="shared" si="32"/>
        <v>1</v>
      </c>
      <c r="V87" s="320"/>
      <c r="W87" s="320"/>
      <c r="X87" s="320"/>
      <c r="Y87" s="320"/>
    </row>
    <row r="88" spans="1:25" ht="15.95" customHeight="1">
      <c r="A88" s="317" t="s">
        <v>344</v>
      </c>
      <c r="B88" s="318" t="s">
        <v>412</v>
      </c>
      <c r="C88" s="319">
        <f t="shared" si="33"/>
        <v>40</v>
      </c>
      <c r="D88" s="319"/>
      <c r="E88" s="319">
        <v>40</v>
      </c>
      <c r="F88" s="319"/>
      <c r="G88" s="319">
        <f t="shared" si="31"/>
        <v>0</v>
      </c>
      <c r="H88" s="319"/>
      <c r="I88" s="319"/>
      <c r="J88" s="319"/>
      <c r="K88" s="319">
        <f t="shared" si="28"/>
        <v>39.999899999999997</v>
      </c>
      <c r="L88" s="319"/>
      <c r="M88" s="319">
        <v>39.999899999999997</v>
      </c>
      <c r="N88" s="319"/>
      <c r="O88" s="319">
        <f t="shared" si="29"/>
        <v>0</v>
      </c>
      <c r="P88" s="319"/>
      <c r="Q88" s="319"/>
      <c r="R88" s="319"/>
      <c r="S88" s="320">
        <f t="shared" si="22"/>
        <v>0.99999749999999987</v>
      </c>
      <c r="T88" s="320"/>
      <c r="U88" s="320">
        <f t="shared" si="32"/>
        <v>0.99999749999999987</v>
      </c>
      <c r="V88" s="320"/>
      <c r="W88" s="320"/>
      <c r="X88" s="320"/>
      <c r="Y88" s="320"/>
    </row>
    <row r="89" spans="1:25" ht="15.95" customHeight="1">
      <c r="A89" s="317" t="s">
        <v>345</v>
      </c>
      <c r="B89" s="318" t="s">
        <v>305</v>
      </c>
      <c r="C89" s="319">
        <f t="shared" si="33"/>
        <v>40</v>
      </c>
      <c r="D89" s="319"/>
      <c r="E89" s="319">
        <v>40</v>
      </c>
      <c r="F89" s="319"/>
      <c r="G89" s="319">
        <f t="shared" si="31"/>
        <v>0</v>
      </c>
      <c r="H89" s="319"/>
      <c r="I89" s="319"/>
      <c r="J89" s="319"/>
      <c r="K89" s="319">
        <f t="shared" si="28"/>
        <v>39.999999000000003</v>
      </c>
      <c r="L89" s="319"/>
      <c r="M89" s="319">
        <v>39.999999000000003</v>
      </c>
      <c r="N89" s="319"/>
      <c r="O89" s="319">
        <f t="shared" si="29"/>
        <v>0</v>
      </c>
      <c r="P89" s="319"/>
      <c r="Q89" s="319"/>
      <c r="R89" s="319"/>
      <c r="S89" s="320">
        <f t="shared" si="22"/>
        <v>0.99999997500000004</v>
      </c>
      <c r="T89" s="320"/>
      <c r="U89" s="320">
        <f t="shared" si="32"/>
        <v>0.99999997500000004</v>
      </c>
      <c r="V89" s="320"/>
      <c r="W89" s="320"/>
      <c r="X89" s="320"/>
      <c r="Y89" s="320"/>
    </row>
    <row r="90" spans="1:25" ht="15.95" customHeight="1">
      <c r="A90" s="317" t="s">
        <v>346</v>
      </c>
      <c r="B90" s="318" t="s">
        <v>306</v>
      </c>
      <c r="C90" s="319">
        <f t="shared" si="33"/>
        <v>40</v>
      </c>
      <c r="D90" s="319"/>
      <c r="E90" s="319">
        <v>40</v>
      </c>
      <c r="F90" s="319"/>
      <c r="G90" s="319">
        <f t="shared" si="31"/>
        <v>0</v>
      </c>
      <c r="H90" s="319"/>
      <c r="I90" s="319"/>
      <c r="J90" s="319"/>
      <c r="K90" s="319">
        <f t="shared" si="28"/>
        <v>39.989939999999997</v>
      </c>
      <c r="L90" s="319"/>
      <c r="M90" s="319">
        <v>39.989939999999997</v>
      </c>
      <c r="N90" s="319"/>
      <c r="O90" s="319">
        <f t="shared" si="29"/>
        <v>0</v>
      </c>
      <c r="P90" s="319"/>
      <c r="Q90" s="319"/>
      <c r="R90" s="319"/>
      <c r="S90" s="320">
        <f t="shared" si="22"/>
        <v>0.99974849999999993</v>
      </c>
      <c r="T90" s="320"/>
      <c r="U90" s="320">
        <f t="shared" si="32"/>
        <v>0.99974849999999993</v>
      </c>
      <c r="V90" s="320"/>
      <c r="W90" s="320"/>
      <c r="X90" s="320"/>
      <c r="Y90" s="320"/>
    </row>
    <row r="91" spans="1:25" ht="15.95" customHeight="1">
      <c r="A91" s="317" t="s">
        <v>347</v>
      </c>
      <c r="B91" s="318" t="s">
        <v>307</v>
      </c>
      <c r="C91" s="319">
        <f t="shared" si="33"/>
        <v>40</v>
      </c>
      <c r="D91" s="319"/>
      <c r="E91" s="319">
        <v>40</v>
      </c>
      <c r="F91" s="319"/>
      <c r="G91" s="319">
        <f t="shared" si="31"/>
        <v>0</v>
      </c>
      <c r="H91" s="319"/>
      <c r="I91" s="319"/>
      <c r="J91" s="319"/>
      <c r="K91" s="319">
        <f t="shared" si="28"/>
        <v>39.998446000000001</v>
      </c>
      <c r="L91" s="319"/>
      <c r="M91" s="319">
        <v>39.998446000000001</v>
      </c>
      <c r="N91" s="319"/>
      <c r="O91" s="319">
        <f t="shared" si="29"/>
        <v>0</v>
      </c>
      <c r="P91" s="319"/>
      <c r="Q91" s="319"/>
      <c r="R91" s="319"/>
      <c r="S91" s="320">
        <f t="shared" si="22"/>
        <v>0.99996115000000008</v>
      </c>
      <c r="T91" s="320"/>
      <c r="U91" s="320">
        <f t="shared" si="32"/>
        <v>0.99996115000000008</v>
      </c>
      <c r="V91" s="320"/>
      <c r="W91" s="320"/>
      <c r="X91" s="320"/>
      <c r="Y91" s="320"/>
    </row>
    <row r="92" spans="1:25" ht="15.95" customHeight="1">
      <c r="A92" s="317" t="s">
        <v>348</v>
      </c>
      <c r="B92" s="318" t="s">
        <v>308</v>
      </c>
      <c r="C92" s="319">
        <f t="shared" si="33"/>
        <v>40</v>
      </c>
      <c r="D92" s="319"/>
      <c r="E92" s="319">
        <v>40</v>
      </c>
      <c r="F92" s="319"/>
      <c r="G92" s="319">
        <f t="shared" si="31"/>
        <v>0</v>
      </c>
      <c r="H92" s="319"/>
      <c r="I92" s="319"/>
      <c r="J92" s="319"/>
      <c r="K92" s="319">
        <f t="shared" si="28"/>
        <v>40</v>
      </c>
      <c r="L92" s="319"/>
      <c r="M92" s="319">
        <v>40</v>
      </c>
      <c r="N92" s="319"/>
      <c r="O92" s="319">
        <f t="shared" si="29"/>
        <v>0</v>
      </c>
      <c r="P92" s="319"/>
      <c r="Q92" s="319"/>
      <c r="R92" s="319"/>
      <c r="S92" s="320">
        <f t="shared" si="22"/>
        <v>1</v>
      </c>
      <c r="T92" s="320"/>
      <c r="U92" s="320">
        <f t="shared" si="32"/>
        <v>1</v>
      </c>
      <c r="V92" s="320"/>
      <c r="W92" s="320"/>
      <c r="X92" s="320"/>
      <c r="Y92" s="320"/>
    </row>
    <row r="93" spans="1:25" ht="15.95" customHeight="1">
      <c r="A93" s="317" t="s">
        <v>349</v>
      </c>
      <c r="B93" s="318" t="s">
        <v>309</v>
      </c>
      <c r="C93" s="319">
        <f t="shared" si="33"/>
        <v>40</v>
      </c>
      <c r="D93" s="319"/>
      <c r="E93" s="319">
        <v>40</v>
      </c>
      <c r="F93" s="319"/>
      <c r="G93" s="319">
        <f t="shared" si="31"/>
        <v>0</v>
      </c>
      <c r="H93" s="319"/>
      <c r="I93" s="319"/>
      <c r="J93" s="319"/>
      <c r="K93" s="319">
        <f t="shared" si="28"/>
        <v>40</v>
      </c>
      <c r="L93" s="319"/>
      <c r="M93" s="319">
        <v>40</v>
      </c>
      <c r="N93" s="319"/>
      <c r="O93" s="319">
        <f t="shared" si="29"/>
        <v>0</v>
      </c>
      <c r="P93" s="319"/>
      <c r="Q93" s="319"/>
      <c r="R93" s="319"/>
      <c r="S93" s="320">
        <f t="shared" si="22"/>
        <v>1</v>
      </c>
      <c r="T93" s="320"/>
      <c r="U93" s="320">
        <f t="shared" si="32"/>
        <v>1</v>
      </c>
      <c r="V93" s="320"/>
      <c r="W93" s="320"/>
      <c r="X93" s="320"/>
      <c r="Y93" s="320"/>
    </row>
    <row r="94" spans="1:25" ht="15.95" customHeight="1">
      <c r="A94" s="317" t="s">
        <v>350</v>
      </c>
      <c r="B94" s="318" t="s">
        <v>310</v>
      </c>
      <c r="C94" s="319">
        <f t="shared" si="33"/>
        <v>40</v>
      </c>
      <c r="D94" s="319"/>
      <c r="E94" s="319">
        <v>40</v>
      </c>
      <c r="F94" s="319"/>
      <c r="G94" s="319">
        <f t="shared" si="31"/>
        <v>0</v>
      </c>
      <c r="H94" s="319"/>
      <c r="I94" s="319"/>
      <c r="J94" s="319"/>
      <c r="K94" s="319">
        <f t="shared" si="28"/>
        <v>40</v>
      </c>
      <c r="L94" s="319"/>
      <c r="M94" s="319">
        <v>40</v>
      </c>
      <c r="N94" s="319"/>
      <c r="O94" s="319">
        <f t="shared" si="29"/>
        <v>0</v>
      </c>
      <c r="P94" s="319"/>
      <c r="Q94" s="319"/>
      <c r="R94" s="319"/>
      <c r="S94" s="320">
        <f t="shared" si="22"/>
        <v>1</v>
      </c>
      <c r="T94" s="320"/>
      <c r="U94" s="320">
        <f t="shared" si="32"/>
        <v>1</v>
      </c>
      <c r="V94" s="320"/>
      <c r="W94" s="320"/>
      <c r="X94" s="320"/>
      <c r="Y94" s="320"/>
    </row>
    <row r="95" spans="1:25" ht="15.95" customHeight="1">
      <c r="A95" s="317" t="s">
        <v>351</v>
      </c>
      <c r="B95" s="318" t="s">
        <v>311</v>
      </c>
      <c r="C95" s="319">
        <f t="shared" si="33"/>
        <v>40</v>
      </c>
      <c r="D95" s="319"/>
      <c r="E95" s="319">
        <v>40</v>
      </c>
      <c r="F95" s="319"/>
      <c r="G95" s="319">
        <f t="shared" si="31"/>
        <v>0</v>
      </c>
      <c r="H95" s="319"/>
      <c r="I95" s="319"/>
      <c r="J95" s="319"/>
      <c r="K95" s="319">
        <f t="shared" si="28"/>
        <v>40</v>
      </c>
      <c r="L95" s="319"/>
      <c r="M95" s="319">
        <v>40</v>
      </c>
      <c r="N95" s="319"/>
      <c r="O95" s="319">
        <f t="shared" si="29"/>
        <v>0</v>
      </c>
      <c r="P95" s="319"/>
      <c r="Q95" s="319"/>
      <c r="R95" s="319"/>
      <c r="S95" s="320">
        <f t="shared" si="22"/>
        <v>1</v>
      </c>
      <c r="T95" s="320"/>
      <c r="U95" s="320">
        <f t="shared" si="32"/>
        <v>1</v>
      </c>
      <c r="V95" s="320"/>
      <c r="W95" s="320"/>
      <c r="X95" s="320"/>
      <c r="Y95" s="320"/>
    </row>
    <row r="96" spans="1:25" ht="15.95" customHeight="1">
      <c r="A96" s="317" t="s">
        <v>352</v>
      </c>
      <c r="B96" s="318" t="s">
        <v>312</v>
      </c>
      <c r="C96" s="319">
        <f t="shared" si="33"/>
        <v>40</v>
      </c>
      <c r="D96" s="319"/>
      <c r="E96" s="319">
        <v>40</v>
      </c>
      <c r="F96" s="319"/>
      <c r="G96" s="319">
        <f t="shared" si="31"/>
        <v>0</v>
      </c>
      <c r="H96" s="319"/>
      <c r="I96" s="319"/>
      <c r="J96" s="319"/>
      <c r="K96" s="319">
        <f t="shared" si="28"/>
        <v>33.269030000000001</v>
      </c>
      <c r="L96" s="319"/>
      <c r="M96" s="319">
        <v>33.269030000000001</v>
      </c>
      <c r="N96" s="319"/>
      <c r="O96" s="319">
        <f t="shared" si="29"/>
        <v>0</v>
      </c>
      <c r="P96" s="319"/>
      <c r="Q96" s="319"/>
      <c r="R96" s="319"/>
      <c r="S96" s="320">
        <f t="shared" si="22"/>
        <v>0.83172575000000004</v>
      </c>
      <c r="T96" s="320"/>
      <c r="U96" s="320">
        <f t="shared" si="32"/>
        <v>0.83172575000000004</v>
      </c>
      <c r="V96" s="320"/>
      <c r="W96" s="320"/>
      <c r="X96" s="320"/>
      <c r="Y96" s="320"/>
    </row>
    <row r="97" spans="1:25" ht="15.95" customHeight="1">
      <c r="A97" s="317" t="s">
        <v>353</v>
      </c>
      <c r="B97" s="318" t="s">
        <v>313</v>
      </c>
      <c r="C97" s="319">
        <f t="shared" si="33"/>
        <v>40</v>
      </c>
      <c r="D97" s="319"/>
      <c r="E97" s="319">
        <v>40</v>
      </c>
      <c r="F97" s="319"/>
      <c r="G97" s="319">
        <f t="shared" si="31"/>
        <v>0</v>
      </c>
      <c r="H97" s="319"/>
      <c r="I97" s="319"/>
      <c r="J97" s="319"/>
      <c r="K97" s="319">
        <f t="shared" si="28"/>
        <v>27.678239999999999</v>
      </c>
      <c r="L97" s="319"/>
      <c r="M97" s="319">
        <v>27.678239999999999</v>
      </c>
      <c r="N97" s="319"/>
      <c r="O97" s="319">
        <f t="shared" si="29"/>
        <v>0</v>
      </c>
      <c r="P97" s="319"/>
      <c r="Q97" s="319"/>
      <c r="R97" s="319"/>
      <c r="S97" s="320">
        <f t="shared" si="22"/>
        <v>0.69195600000000002</v>
      </c>
      <c r="T97" s="320"/>
      <c r="U97" s="320">
        <f t="shared" si="32"/>
        <v>0.69195600000000002</v>
      </c>
      <c r="V97" s="320"/>
      <c r="W97" s="320"/>
      <c r="X97" s="320"/>
      <c r="Y97" s="320"/>
    </row>
    <row r="98" spans="1:25" ht="15.95" customHeight="1">
      <c r="A98" s="317" t="s">
        <v>354</v>
      </c>
      <c r="B98" s="318" t="s">
        <v>314</v>
      </c>
      <c r="C98" s="319">
        <f t="shared" si="33"/>
        <v>40</v>
      </c>
      <c r="D98" s="319"/>
      <c r="E98" s="319">
        <v>40</v>
      </c>
      <c r="F98" s="319"/>
      <c r="G98" s="319">
        <f t="shared" si="31"/>
        <v>0</v>
      </c>
      <c r="H98" s="319"/>
      <c r="I98" s="319"/>
      <c r="J98" s="319"/>
      <c r="K98" s="319">
        <f t="shared" si="28"/>
        <v>26.399819999999998</v>
      </c>
      <c r="L98" s="319"/>
      <c r="M98" s="319">
        <v>26.399819999999998</v>
      </c>
      <c r="N98" s="319"/>
      <c r="O98" s="319">
        <f t="shared" si="29"/>
        <v>0</v>
      </c>
      <c r="P98" s="319"/>
      <c r="Q98" s="319"/>
      <c r="R98" s="319"/>
      <c r="S98" s="320">
        <f t="shared" si="22"/>
        <v>0.65999549999999996</v>
      </c>
      <c r="T98" s="320"/>
      <c r="U98" s="320">
        <f t="shared" si="32"/>
        <v>0.65999549999999996</v>
      </c>
      <c r="V98" s="320"/>
      <c r="W98" s="320"/>
      <c r="X98" s="320"/>
      <c r="Y98" s="320"/>
    </row>
    <row r="99" spans="1:25" ht="15.95" customHeight="1">
      <c r="A99" s="317" t="s">
        <v>355</v>
      </c>
      <c r="B99" s="318" t="s">
        <v>360</v>
      </c>
      <c r="C99" s="319">
        <f t="shared" si="33"/>
        <v>2662.66</v>
      </c>
      <c r="D99" s="319">
        <v>681</v>
      </c>
      <c r="E99" s="319">
        <v>198.66</v>
      </c>
      <c r="F99" s="319"/>
      <c r="G99" s="319">
        <f t="shared" si="31"/>
        <v>1783</v>
      </c>
      <c r="H99" s="319">
        <v>1783</v>
      </c>
      <c r="I99" s="319"/>
      <c r="J99" s="319"/>
      <c r="K99" s="319">
        <f t="shared" si="28"/>
        <v>2658.1730010000001</v>
      </c>
      <c r="L99" s="319">
        <v>676.51300100000003</v>
      </c>
      <c r="M99" s="319">
        <f>E99</f>
        <v>198.66</v>
      </c>
      <c r="N99" s="319"/>
      <c r="O99" s="319">
        <f t="shared" si="29"/>
        <v>1780.99</v>
      </c>
      <c r="P99" s="319">
        <v>1780.99</v>
      </c>
      <c r="Q99" s="319"/>
      <c r="R99" s="319">
        <v>2.0099999999999998</v>
      </c>
      <c r="S99" s="320">
        <f t="shared" si="22"/>
        <v>0.99831484342724952</v>
      </c>
      <c r="T99" s="320">
        <f t="shared" si="22"/>
        <v>0.99341116152716602</v>
      </c>
      <c r="U99" s="320">
        <f t="shared" si="32"/>
        <v>1</v>
      </c>
      <c r="V99" s="320">
        <f t="shared" ref="V99:V109" si="34">O99/G99</f>
        <v>0.99887268648345484</v>
      </c>
      <c r="W99" s="320">
        <f t="shared" ref="W99:W109" si="35">P99/H99</f>
        <v>0.99887268648345484</v>
      </c>
      <c r="X99" s="320"/>
      <c r="Y99" s="320"/>
    </row>
    <row r="100" spans="1:25" ht="15.95" customHeight="1">
      <c r="A100" s="317" t="s">
        <v>356</v>
      </c>
      <c r="B100" s="318" t="s">
        <v>377</v>
      </c>
      <c r="C100" s="319">
        <f t="shared" si="33"/>
        <v>1735.28</v>
      </c>
      <c r="D100" s="319">
        <v>500</v>
      </c>
      <c r="E100" s="319">
        <v>104.28</v>
      </c>
      <c r="F100" s="319"/>
      <c r="G100" s="319">
        <f t="shared" si="31"/>
        <v>1131</v>
      </c>
      <c r="H100" s="319">
        <v>1131</v>
      </c>
      <c r="I100" s="319"/>
      <c r="J100" s="319"/>
      <c r="K100" s="319">
        <f t="shared" si="28"/>
        <v>1731.3037319999999</v>
      </c>
      <c r="L100" s="319">
        <v>496.023732</v>
      </c>
      <c r="M100" s="319">
        <f t="shared" ref="M100:M110" si="36">E100</f>
        <v>104.28</v>
      </c>
      <c r="N100" s="319"/>
      <c r="O100" s="319">
        <f t="shared" si="29"/>
        <v>1023.68622</v>
      </c>
      <c r="P100" s="319">
        <v>1023.68622</v>
      </c>
      <c r="Q100" s="319"/>
      <c r="R100" s="322">
        <v>107.31377999999999</v>
      </c>
      <c r="S100" s="320">
        <f t="shared" si="22"/>
        <v>0.99770857267991331</v>
      </c>
      <c r="T100" s="320">
        <f t="shared" si="22"/>
        <v>0.99204746399999999</v>
      </c>
      <c r="U100" s="320">
        <f t="shared" si="32"/>
        <v>1</v>
      </c>
      <c r="V100" s="320">
        <f t="shared" si="34"/>
        <v>0.90511602122015922</v>
      </c>
      <c r="W100" s="320">
        <f t="shared" si="35"/>
        <v>0.90511602122015922</v>
      </c>
      <c r="X100" s="320"/>
      <c r="Y100" s="320"/>
    </row>
    <row r="101" spans="1:25" ht="15.95" customHeight="1">
      <c r="A101" s="317" t="s">
        <v>357</v>
      </c>
      <c r="B101" s="318" t="s">
        <v>361</v>
      </c>
      <c r="C101" s="319">
        <f t="shared" si="33"/>
        <v>2826.03</v>
      </c>
      <c r="D101" s="319">
        <v>16.53</v>
      </c>
      <c r="E101" s="319">
        <v>115.5</v>
      </c>
      <c r="F101" s="319"/>
      <c r="G101" s="319">
        <f>SUM(H101:I101)</f>
        <v>2694</v>
      </c>
      <c r="H101" s="319">
        <v>2694</v>
      </c>
      <c r="I101" s="319"/>
      <c r="J101" s="319"/>
      <c r="K101" s="319">
        <f t="shared" si="28"/>
        <v>2826.03</v>
      </c>
      <c r="L101" s="319">
        <v>16.53</v>
      </c>
      <c r="M101" s="319">
        <f t="shared" si="36"/>
        <v>115.5</v>
      </c>
      <c r="N101" s="319"/>
      <c r="O101" s="319">
        <f t="shared" si="29"/>
        <v>398.74700000000001</v>
      </c>
      <c r="P101" s="319">
        <v>398.74700000000001</v>
      </c>
      <c r="Q101" s="319"/>
      <c r="R101" s="319">
        <v>2295.2530000000002</v>
      </c>
      <c r="S101" s="320">
        <f t="shared" si="22"/>
        <v>1</v>
      </c>
      <c r="T101" s="320">
        <f t="shared" si="22"/>
        <v>1</v>
      </c>
      <c r="U101" s="320">
        <f t="shared" si="32"/>
        <v>1</v>
      </c>
      <c r="V101" s="320">
        <f t="shared" si="34"/>
        <v>0.14801299183370453</v>
      </c>
      <c r="W101" s="320">
        <f t="shared" si="35"/>
        <v>0.14801299183370453</v>
      </c>
      <c r="X101" s="320"/>
      <c r="Y101" s="320"/>
    </row>
    <row r="102" spans="1:25" ht="15.95" customHeight="1">
      <c r="A102" s="317" t="s">
        <v>367</v>
      </c>
      <c r="B102" s="318" t="s">
        <v>362</v>
      </c>
      <c r="C102" s="319">
        <f t="shared" si="33"/>
        <v>943.68000000000006</v>
      </c>
      <c r="D102" s="319"/>
      <c r="E102" s="319">
        <v>64.680000000000007</v>
      </c>
      <c r="F102" s="319"/>
      <c r="G102" s="319">
        <f t="shared" ref="G102:G110" si="37">SUM(H102:I102)</f>
        <v>879</v>
      </c>
      <c r="H102" s="319">
        <v>879</v>
      </c>
      <c r="I102" s="319"/>
      <c r="J102" s="319"/>
      <c r="K102" s="319">
        <f t="shared" si="28"/>
        <v>943.68</v>
      </c>
      <c r="L102" s="319"/>
      <c r="M102" s="319">
        <f t="shared" si="36"/>
        <v>64.680000000000007</v>
      </c>
      <c r="N102" s="319"/>
      <c r="O102" s="319">
        <f t="shared" si="29"/>
        <v>261.7</v>
      </c>
      <c r="P102" s="319">
        <v>261.7</v>
      </c>
      <c r="Q102" s="319"/>
      <c r="R102" s="319">
        <v>617.29999999999995</v>
      </c>
      <c r="S102" s="320">
        <f t="shared" si="22"/>
        <v>0.99999999999999989</v>
      </c>
      <c r="T102" s="320"/>
      <c r="U102" s="320">
        <f t="shared" si="32"/>
        <v>1</v>
      </c>
      <c r="V102" s="320">
        <f t="shared" si="34"/>
        <v>0.29772468714448236</v>
      </c>
      <c r="W102" s="320">
        <f t="shared" si="35"/>
        <v>0.29772468714448236</v>
      </c>
      <c r="X102" s="320"/>
      <c r="Y102" s="320"/>
    </row>
    <row r="103" spans="1:25" ht="15.95" customHeight="1">
      <c r="A103" s="317" t="s">
        <v>368</v>
      </c>
      <c r="B103" s="318" t="s">
        <v>363</v>
      </c>
      <c r="C103" s="319">
        <f t="shared" si="33"/>
        <v>4125.0576879999999</v>
      </c>
      <c r="D103" s="319">
        <v>39.177688000000003</v>
      </c>
      <c r="E103" s="319">
        <v>308.88</v>
      </c>
      <c r="F103" s="319"/>
      <c r="G103" s="319">
        <f t="shared" si="37"/>
        <v>3777</v>
      </c>
      <c r="H103" s="319">
        <v>3777</v>
      </c>
      <c r="I103" s="319"/>
      <c r="J103" s="319"/>
      <c r="K103" s="319">
        <f t="shared" si="28"/>
        <v>4125.0576879999999</v>
      </c>
      <c r="L103" s="319">
        <v>39.177688000000003</v>
      </c>
      <c r="M103" s="319">
        <f t="shared" si="36"/>
        <v>308.88</v>
      </c>
      <c r="N103" s="319"/>
      <c r="O103" s="319">
        <f t="shared" si="29"/>
        <v>0</v>
      </c>
      <c r="P103" s="319"/>
      <c r="Q103" s="319"/>
      <c r="R103" s="319">
        <v>3777</v>
      </c>
      <c r="S103" s="320">
        <f t="shared" si="22"/>
        <v>1</v>
      </c>
      <c r="T103" s="320">
        <f t="shared" si="22"/>
        <v>1</v>
      </c>
      <c r="U103" s="320">
        <f t="shared" si="32"/>
        <v>1</v>
      </c>
      <c r="V103" s="320">
        <f t="shared" si="34"/>
        <v>0</v>
      </c>
      <c r="W103" s="320">
        <f t="shared" si="35"/>
        <v>0</v>
      </c>
      <c r="X103" s="320"/>
      <c r="Y103" s="320"/>
    </row>
    <row r="104" spans="1:25" ht="15.95" customHeight="1">
      <c r="A104" s="317" t="s">
        <v>369</v>
      </c>
      <c r="B104" s="318" t="s">
        <v>364</v>
      </c>
      <c r="C104" s="319">
        <f t="shared" si="33"/>
        <v>3682.794312</v>
      </c>
      <c r="D104" s="319">
        <v>18.134312000000001</v>
      </c>
      <c r="E104" s="319">
        <v>33.659999999999997</v>
      </c>
      <c r="F104" s="319"/>
      <c r="G104" s="319">
        <f t="shared" si="37"/>
        <v>3631</v>
      </c>
      <c r="H104" s="319">
        <v>3631</v>
      </c>
      <c r="I104" s="319"/>
      <c r="J104" s="319"/>
      <c r="K104" s="319">
        <f t="shared" si="28"/>
        <v>3682.5374999999999</v>
      </c>
      <c r="L104" s="319">
        <v>17.877500000000001</v>
      </c>
      <c r="M104" s="319">
        <f t="shared" si="36"/>
        <v>33.659999999999997</v>
      </c>
      <c r="N104" s="319"/>
      <c r="O104" s="319">
        <f t="shared" si="29"/>
        <v>100</v>
      </c>
      <c r="P104" s="319">
        <v>100</v>
      </c>
      <c r="Q104" s="319"/>
      <c r="R104" s="319">
        <v>3531</v>
      </c>
      <c r="S104" s="320">
        <f t="shared" si="22"/>
        <v>0.99993026708030819</v>
      </c>
      <c r="T104" s="320">
        <f t="shared" si="22"/>
        <v>0.98583833784264874</v>
      </c>
      <c r="U104" s="320">
        <f t="shared" si="32"/>
        <v>1</v>
      </c>
      <c r="V104" s="320">
        <f t="shared" si="34"/>
        <v>2.7540622418066648E-2</v>
      </c>
      <c r="W104" s="320">
        <f t="shared" si="35"/>
        <v>2.7540622418066648E-2</v>
      </c>
      <c r="X104" s="320"/>
      <c r="Y104" s="320"/>
    </row>
    <row r="105" spans="1:25" ht="15.95" customHeight="1">
      <c r="A105" s="317" t="s">
        <v>370</v>
      </c>
      <c r="B105" s="318" t="s">
        <v>365</v>
      </c>
      <c r="C105" s="319">
        <f t="shared" si="33"/>
        <v>1761.08</v>
      </c>
      <c r="D105" s="319">
        <v>2.2799999999999998</v>
      </c>
      <c r="E105" s="319">
        <v>52.8</v>
      </c>
      <c r="F105" s="319"/>
      <c r="G105" s="319">
        <f t="shared" si="37"/>
        <v>1706</v>
      </c>
      <c r="H105" s="319">
        <v>1706</v>
      </c>
      <c r="I105" s="319"/>
      <c r="J105" s="319"/>
      <c r="K105" s="319">
        <f t="shared" si="28"/>
        <v>1761.08</v>
      </c>
      <c r="L105" s="319">
        <v>2.2799999999999998</v>
      </c>
      <c r="M105" s="319">
        <f t="shared" si="36"/>
        <v>52.8</v>
      </c>
      <c r="N105" s="319"/>
      <c r="O105" s="319">
        <f t="shared" si="29"/>
        <v>625.95100000000002</v>
      </c>
      <c r="P105" s="319">
        <v>625.95100000000002</v>
      </c>
      <c r="Q105" s="319"/>
      <c r="R105" s="319">
        <v>1080.049</v>
      </c>
      <c r="S105" s="320">
        <f t="shared" si="22"/>
        <v>1</v>
      </c>
      <c r="T105" s="320">
        <f t="shared" si="22"/>
        <v>1</v>
      </c>
      <c r="U105" s="320">
        <f t="shared" si="32"/>
        <v>1</v>
      </c>
      <c r="V105" s="320">
        <f t="shared" si="34"/>
        <v>0.36691148886283703</v>
      </c>
      <c r="W105" s="320">
        <f t="shared" si="35"/>
        <v>0.36691148886283703</v>
      </c>
      <c r="X105" s="320"/>
      <c r="Y105" s="320"/>
    </row>
    <row r="106" spans="1:25" ht="15.95" customHeight="1">
      <c r="A106" s="317" t="s">
        <v>371</v>
      </c>
      <c r="B106" s="318" t="s">
        <v>400</v>
      </c>
      <c r="C106" s="319">
        <f t="shared" si="33"/>
        <v>5499.1090000000004</v>
      </c>
      <c r="D106" s="319">
        <v>1802.8489999999999</v>
      </c>
      <c r="E106" s="319">
        <v>40.26</v>
      </c>
      <c r="F106" s="319"/>
      <c r="G106" s="319">
        <f t="shared" si="37"/>
        <v>3656</v>
      </c>
      <c r="H106" s="319">
        <v>3656</v>
      </c>
      <c r="I106" s="319"/>
      <c r="J106" s="319"/>
      <c r="K106" s="319">
        <f t="shared" si="28"/>
        <v>5482.7719999999999</v>
      </c>
      <c r="L106" s="319">
        <v>1786.5119999999999</v>
      </c>
      <c r="M106" s="319">
        <f t="shared" si="36"/>
        <v>40.26</v>
      </c>
      <c r="N106" s="319"/>
      <c r="O106" s="319">
        <f t="shared" si="29"/>
        <v>594.99699999999996</v>
      </c>
      <c r="P106" s="319">
        <v>594.99699999999996</v>
      </c>
      <c r="Q106" s="319"/>
      <c r="R106" s="319">
        <v>3061.0030000000002</v>
      </c>
      <c r="S106" s="320">
        <f t="shared" si="22"/>
        <v>0.99702915508676038</v>
      </c>
      <c r="T106" s="320">
        <f t="shared" si="22"/>
        <v>0.99093823165445361</v>
      </c>
      <c r="U106" s="320">
        <f t="shared" si="32"/>
        <v>1</v>
      </c>
      <c r="V106" s="320">
        <f t="shared" si="34"/>
        <v>0.16274535010940919</v>
      </c>
      <c r="W106" s="320">
        <f t="shared" si="35"/>
        <v>0.16274535010940919</v>
      </c>
      <c r="X106" s="320"/>
      <c r="Y106" s="320"/>
    </row>
    <row r="107" spans="1:25" ht="15.95" customHeight="1">
      <c r="A107" s="317" t="s">
        <v>372</v>
      </c>
      <c r="B107" s="318" t="s">
        <v>366</v>
      </c>
      <c r="C107" s="319">
        <f t="shared" si="33"/>
        <v>3589.4</v>
      </c>
      <c r="D107" s="319"/>
      <c r="E107" s="319">
        <v>92.4</v>
      </c>
      <c r="F107" s="319"/>
      <c r="G107" s="319">
        <f t="shared" si="37"/>
        <v>3497</v>
      </c>
      <c r="H107" s="319">
        <v>3497</v>
      </c>
      <c r="I107" s="319"/>
      <c r="J107" s="319"/>
      <c r="K107" s="319">
        <f t="shared" si="28"/>
        <v>3589.4</v>
      </c>
      <c r="L107" s="319"/>
      <c r="M107" s="319">
        <f t="shared" si="36"/>
        <v>92.4</v>
      </c>
      <c r="N107" s="319"/>
      <c r="O107" s="319">
        <f t="shared" si="29"/>
        <v>3481.0494939999999</v>
      </c>
      <c r="P107" s="319">
        <v>3481.0494939999999</v>
      </c>
      <c r="Q107" s="319"/>
      <c r="R107" s="319">
        <v>15.950506000000001</v>
      </c>
      <c r="S107" s="320">
        <f t="shared" si="22"/>
        <v>1</v>
      </c>
      <c r="T107" s="320"/>
      <c r="U107" s="320">
        <f t="shared" si="32"/>
        <v>1</v>
      </c>
      <c r="V107" s="320">
        <f t="shared" si="34"/>
        <v>0.99543880297397769</v>
      </c>
      <c r="W107" s="320">
        <f t="shared" si="35"/>
        <v>0.99543880297397769</v>
      </c>
      <c r="X107" s="320"/>
      <c r="Y107" s="320"/>
    </row>
    <row r="108" spans="1:25" ht="15.95" customHeight="1">
      <c r="A108" s="317" t="s">
        <v>373</v>
      </c>
      <c r="B108" s="318" t="s">
        <v>237</v>
      </c>
      <c r="C108" s="319">
        <f t="shared" si="33"/>
        <v>2607.64</v>
      </c>
      <c r="D108" s="319"/>
      <c r="E108" s="319">
        <v>101.64</v>
      </c>
      <c r="F108" s="319"/>
      <c r="G108" s="319">
        <f t="shared" si="37"/>
        <v>2506</v>
      </c>
      <c r="H108" s="319">
        <v>2506</v>
      </c>
      <c r="I108" s="319"/>
      <c r="J108" s="319"/>
      <c r="K108" s="319">
        <f t="shared" si="28"/>
        <v>2607.64</v>
      </c>
      <c r="L108" s="319"/>
      <c r="M108" s="319">
        <f t="shared" si="36"/>
        <v>101.64</v>
      </c>
      <c r="N108" s="319"/>
      <c r="O108" s="319">
        <f t="shared" si="29"/>
        <v>797.43895199999997</v>
      </c>
      <c r="P108" s="319">
        <v>797.43895199999997</v>
      </c>
      <c r="Q108" s="319"/>
      <c r="R108" s="319">
        <v>1708.561048</v>
      </c>
      <c r="S108" s="320">
        <f t="shared" ref="S108:T113" si="38">K108/C108</f>
        <v>1</v>
      </c>
      <c r="T108" s="320"/>
      <c r="U108" s="320">
        <f t="shared" si="32"/>
        <v>1</v>
      </c>
      <c r="V108" s="320">
        <f t="shared" si="34"/>
        <v>0.31821187230646447</v>
      </c>
      <c r="W108" s="320">
        <f t="shared" si="35"/>
        <v>0.31821187230646447</v>
      </c>
      <c r="X108" s="320"/>
      <c r="Y108" s="320"/>
    </row>
    <row r="109" spans="1:25" ht="15.95" customHeight="1">
      <c r="A109" s="317" t="s">
        <v>490</v>
      </c>
      <c r="B109" s="318" t="s">
        <v>238</v>
      </c>
      <c r="C109" s="319">
        <f t="shared" si="33"/>
        <v>3374.9690000000001</v>
      </c>
      <c r="D109" s="319">
        <v>205.62899999999999</v>
      </c>
      <c r="E109" s="319">
        <v>263.33999999999997</v>
      </c>
      <c r="F109" s="319"/>
      <c r="G109" s="319">
        <f t="shared" si="37"/>
        <v>2906</v>
      </c>
      <c r="H109" s="319">
        <v>2906</v>
      </c>
      <c r="I109" s="319"/>
      <c r="J109" s="323"/>
      <c r="K109" s="319">
        <f t="shared" si="28"/>
        <v>3371.049</v>
      </c>
      <c r="L109" s="319">
        <v>201.709</v>
      </c>
      <c r="M109" s="319">
        <f t="shared" si="36"/>
        <v>263.33999999999997</v>
      </c>
      <c r="N109" s="319"/>
      <c r="O109" s="319">
        <f t="shared" si="29"/>
        <v>1699.039419</v>
      </c>
      <c r="P109" s="319">
        <v>1699.039419</v>
      </c>
      <c r="Q109" s="319"/>
      <c r="R109" s="319">
        <v>1206.960581</v>
      </c>
      <c r="S109" s="320">
        <f t="shared" si="38"/>
        <v>0.99883850784999806</v>
      </c>
      <c r="T109" s="320">
        <f t="shared" si="38"/>
        <v>0.98093654105208905</v>
      </c>
      <c r="U109" s="320">
        <f t="shared" si="32"/>
        <v>1</v>
      </c>
      <c r="V109" s="320">
        <f t="shared" si="34"/>
        <v>0.58466600791465928</v>
      </c>
      <c r="W109" s="320">
        <f t="shared" si="35"/>
        <v>0.58466600791465928</v>
      </c>
      <c r="X109" s="320"/>
      <c r="Y109" s="320"/>
    </row>
    <row r="110" spans="1:25" ht="15.95" customHeight="1">
      <c r="A110" s="317" t="s">
        <v>491</v>
      </c>
      <c r="B110" s="318" t="s">
        <v>239</v>
      </c>
      <c r="C110" s="319">
        <f t="shared" si="33"/>
        <v>3101.02</v>
      </c>
      <c r="D110" s="323">
        <v>200</v>
      </c>
      <c r="E110" s="319">
        <v>295.02</v>
      </c>
      <c r="F110" s="319"/>
      <c r="G110" s="319">
        <f t="shared" si="37"/>
        <v>2606</v>
      </c>
      <c r="H110" s="319">
        <v>2606</v>
      </c>
      <c r="I110" s="319"/>
      <c r="J110" s="319"/>
      <c r="K110" s="319">
        <f t="shared" si="28"/>
        <v>3070.02</v>
      </c>
      <c r="L110" s="323">
        <v>169</v>
      </c>
      <c r="M110" s="319">
        <f t="shared" si="36"/>
        <v>295.02</v>
      </c>
      <c r="N110" s="319"/>
      <c r="O110" s="319">
        <f t="shared" si="29"/>
        <v>0</v>
      </c>
      <c r="P110" s="319"/>
      <c r="Q110" s="319"/>
      <c r="R110" s="319">
        <v>2606</v>
      </c>
      <c r="S110" s="320">
        <f t="shared" si="38"/>
        <v>0.99000328924031444</v>
      </c>
      <c r="T110" s="320">
        <f t="shared" si="38"/>
        <v>0.84499999999999997</v>
      </c>
      <c r="U110" s="320">
        <f t="shared" si="32"/>
        <v>1</v>
      </c>
      <c r="V110" s="320"/>
      <c r="W110" s="320"/>
      <c r="X110" s="320"/>
      <c r="Y110" s="320"/>
    </row>
    <row r="111" spans="1:25" ht="15.95" customHeight="1">
      <c r="A111" s="317" t="s">
        <v>16</v>
      </c>
      <c r="B111" s="318" t="s">
        <v>375</v>
      </c>
      <c r="C111" s="319">
        <f t="shared" si="33"/>
        <v>6583</v>
      </c>
      <c r="D111" s="319"/>
      <c r="E111" s="319"/>
      <c r="F111" s="319">
        <v>6583</v>
      </c>
      <c r="G111" s="319">
        <f t="shared" ref="G111" si="39">H111+I111</f>
        <v>0</v>
      </c>
      <c r="H111" s="319"/>
      <c r="I111" s="319"/>
      <c r="J111" s="319"/>
      <c r="K111" s="319">
        <f>L111+M111+N111+O111+R111</f>
        <v>0</v>
      </c>
      <c r="L111" s="319"/>
      <c r="M111" s="319"/>
      <c r="N111" s="319"/>
      <c r="O111" s="319">
        <f t="shared" si="29"/>
        <v>0</v>
      </c>
      <c r="P111" s="319"/>
      <c r="Q111" s="319"/>
      <c r="R111" s="319"/>
      <c r="S111" s="320">
        <f t="shared" si="38"/>
        <v>0</v>
      </c>
      <c r="T111" s="320"/>
      <c r="U111" s="320"/>
      <c r="V111" s="320"/>
      <c r="W111" s="320"/>
      <c r="X111" s="320"/>
      <c r="Y111" s="320"/>
    </row>
    <row r="112" spans="1:25" ht="15.95" customHeight="1">
      <c r="A112" s="317" t="s">
        <v>50</v>
      </c>
      <c r="B112" s="318" t="s">
        <v>376</v>
      </c>
      <c r="C112" s="319">
        <f t="shared" si="33"/>
        <v>6029</v>
      </c>
      <c r="D112" s="319"/>
      <c r="E112" s="319">
        <v>6029</v>
      </c>
      <c r="F112" s="319"/>
      <c r="G112" s="319">
        <f t="shared" ref="G112:G114" si="40">H112+I112</f>
        <v>0</v>
      </c>
      <c r="H112" s="319"/>
      <c r="I112" s="319"/>
      <c r="J112" s="319"/>
      <c r="K112" s="319">
        <f t="shared" ref="K112:K115" si="41">L112+M112+N112+O112+R112</f>
        <v>0</v>
      </c>
      <c r="L112" s="319"/>
      <c r="M112" s="319"/>
      <c r="N112" s="319"/>
      <c r="O112" s="319">
        <f t="shared" si="29"/>
        <v>0</v>
      </c>
      <c r="P112" s="319"/>
      <c r="Q112" s="319"/>
      <c r="R112" s="319"/>
      <c r="S112" s="320">
        <f t="shared" si="38"/>
        <v>0</v>
      </c>
      <c r="T112" s="320"/>
      <c r="U112" s="320"/>
      <c r="V112" s="320"/>
      <c r="W112" s="320"/>
      <c r="X112" s="320"/>
      <c r="Y112" s="320"/>
    </row>
    <row r="113" spans="1:25" ht="27" customHeight="1">
      <c r="A113" s="317" t="s">
        <v>51</v>
      </c>
      <c r="B113" s="318" t="s">
        <v>431</v>
      </c>
      <c r="C113" s="319">
        <f t="shared" si="33"/>
        <v>68398</v>
      </c>
      <c r="D113" s="319"/>
      <c r="E113" s="319"/>
      <c r="F113" s="319">
        <v>68398</v>
      </c>
      <c r="G113" s="319">
        <f t="shared" si="40"/>
        <v>0</v>
      </c>
      <c r="H113" s="319"/>
      <c r="I113" s="319"/>
      <c r="J113" s="319"/>
      <c r="K113" s="319">
        <f t="shared" si="41"/>
        <v>88874.811111999996</v>
      </c>
      <c r="L113" s="319"/>
      <c r="M113" s="319"/>
      <c r="N113" s="319">
        <v>88874.811111999996</v>
      </c>
      <c r="O113" s="319">
        <f t="shared" si="29"/>
        <v>0</v>
      </c>
      <c r="P113" s="319"/>
      <c r="Q113" s="319"/>
      <c r="R113" s="319"/>
      <c r="S113" s="320">
        <f t="shared" si="38"/>
        <v>1.2993773372320827</v>
      </c>
      <c r="T113" s="320"/>
      <c r="U113" s="320"/>
      <c r="V113" s="320"/>
      <c r="W113" s="320"/>
      <c r="X113" s="320"/>
      <c r="Y113" s="320"/>
    </row>
    <row r="114" spans="1:25" ht="27" customHeight="1">
      <c r="A114" s="317" t="s">
        <v>19</v>
      </c>
      <c r="B114" s="318" t="s">
        <v>433</v>
      </c>
      <c r="C114" s="319">
        <f t="shared" si="33"/>
        <v>0</v>
      </c>
      <c r="D114" s="319"/>
      <c r="E114" s="319"/>
      <c r="F114" s="319"/>
      <c r="G114" s="319">
        <f t="shared" si="40"/>
        <v>0</v>
      </c>
      <c r="H114" s="319"/>
      <c r="I114" s="319"/>
      <c r="J114" s="319"/>
      <c r="K114" s="319">
        <f t="shared" si="41"/>
        <v>46677.728031999999</v>
      </c>
      <c r="L114" s="319"/>
      <c r="M114" s="319"/>
      <c r="N114" s="319"/>
      <c r="O114" s="319">
        <f t="shared" ref="O114" si="42">P114+Q114</f>
        <v>0</v>
      </c>
      <c r="P114" s="319"/>
      <c r="Q114" s="319"/>
      <c r="R114" s="319">
        <v>46677.728031999999</v>
      </c>
      <c r="S114" s="320"/>
      <c r="T114" s="320"/>
      <c r="U114" s="320"/>
      <c r="V114" s="320"/>
      <c r="W114" s="320"/>
      <c r="X114" s="320"/>
      <c r="Y114" s="320"/>
    </row>
    <row r="115" spans="1:25" ht="15.95" customHeight="1">
      <c r="A115" s="324" t="s">
        <v>21</v>
      </c>
      <c r="B115" s="325" t="s">
        <v>249</v>
      </c>
      <c r="C115" s="326"/>
      <c r="D115" s="326"/>
      <c r="E115" s="326"/>
      <c r="F115" s="326"/>
      <c r="G115" s="326"/>
      <c r="H115" s="326"/>
      <c r="I115" s="326"/>
      <c r="J115" s="326"/>
      <c r="K115" s="327">
        <f t="shared" si="41"/>
        <v>27489.154213999998</v>
      </c>
      <c r="L115" s="326"/>
      <c r="M115" s="326"/>
      <c r="N115" s="327">
        <v>27489.154213999998</v>
      </c>
      <c r="O115" s="326"/>
      <c r="P115" s="326"/>
      <c r="Q115" s="326"/>
      <c r="R115" s="326"/>
      <c r="S115" s="328"/>
      <c r="T115" s="328"/>
      <c r="U115" s="328"/>
      <c r="V115" s="328"/>
      <c r="W115" s="328"/>
      <c r="X115" s="328"/>
      <c r="Y115" s="328"/>
    </row>
    <row r="116" spans="1:25" ht="8.25" customHeight="1">
      <c r="A116" s="329"/>
      <c r="B116" s="330"/>
      <c r="C116" s="331"/>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row>
    <row r="117" spans="1:25" ht="15" customHeight="1">
      <c r="C117" s="170" t="s">
        <v>555</v>
      </c>
    </row>
    <row r="118" spans="1:25" ht="15" customHeight="1">
      <c r="C118" s="170" t="s">
        <v>489</v>
      </c>
    </row>
    <row r="119" spans="1:25">
      <c r="A119" s="332"/>
      <c r="B119" s="333"/>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row>
    <row r="120" spans="1:25">
      <c r="A120" s="365" t="s">
        <v>89</v>
      </c>
      <c r="B120" s="365"/>
      <c r="C120" s="365"/>
      <c r="D120" s="365"/>
      <c r="E120" s="365"/>
      <c r="F120" s="365"/>
      <c r="G120" s="365"/>
      <c r="H120" s="365"/>
      <c r="I120" s="365"/>
      <c r="J120" s="365"/>
      <c r="K120" s="365"/>
      <c r="L120" s="365"/>
      <c r="M120" s="365"/>
      <c r="N120" s="365"/>
      <c r="O120" s="365"/>
      <c r="P120" s="365"/>
      <c r="Q120" s="365"/>
      <c r="R120" s="365"/>
      <c r="S120" s="365"/>
      <c r="T120" s="365"/>
      <c r="U120" s="365"/>
      <c r="V120" s="365"/>
      <c r="W120" s="365"/>
      <c r="X120" s="365"/>
      <c r="Y120" s="365"/>
    </row>
    <row r="121" spans="1:25">
      <c r="A121" s="365" t="s">
        <v>90</v>
      </c>
      <c r="B121" s="365"/>
      <c r="C121" s="365"/>
      <c r="D121" s="365"/>
      <c r="E121" s="365"/>
      <c r="F121" s="365"/>
      <c r="G121" s="365"/>
      <c r="H121" s="365"/>
      <c r="I121" s="365"/>
      <c r="J121" s="365"/>
      <c r="K121" s="365"/>
      <c r="L121" s="365"/>
      <c r="M121" s="365"/>
      <c r="N121" s="365"/>
      <c r="O121" s="365"/>
      <c r="P121" s="365"/>
      <c r="Q121" s="365"/>
      <c r="R121" s="365"/>
      <c r="S121" s="365"/>
      <c r="T121" s="365"/>
      <c r="U121" s="365"/>
      <c r="V121" s="365"/>
      <c r="W121" s="365"/>
      <c r="X121" s="365"/>
      <c r="Y121" s="365"/>
    </row>
    <row r="122" spans="1:25">
      <c r="J122" s="335">
        <v>70256683005</v>
      </c>
    </row>
    <row r="123" spans="1:25">
      <c r="J123" s="335">
        <v>29299898671</v>
      </c>
      <c r="R123" s="335"/>
    </row>
    <row r="124" spans="1:25">
      <c r="J124" s="335">
        <f>J122-J123</f>
        <v>40956784334</v>
      </c>
      <c r="R124" s="335"/>
    </row>
    <row r="125" spans="1:25">
      <c r="R125" s="335"/>
    </row>
  </sheetData>
  <mergeCells count="37">
    <mergeCell ref="X4:Y4"/>
    <mergeCell ref="J6:J8"/>
    <mergeCell ref="C2:M2"/>
    <mergeCell ref="C3:M3"/>
    <mergeCell ref="K5:M5"/>
    <mergeCell ref="N5:R5"/>
    <mergeCell ref="A120:Y120"/>
    <mergeCell ref="A5:A8"/>
    <mergeCell ref="B5:B8"/>
    <mergeCell ref="C5:J5"/>
    <mergeCell ref="S5:Y5"/>
    <mergeCell ref="C6:C8"/>
    <mergeCell ref="D6:D8"/>
    <mergeCell ref="E6:E8"/>
    <mergeCell ref="G6:I6"/>
    <mergeCell ref="Q7:Q8"/>
    <mergeCell ref="W7:W8"/>
    <mergeCell ref="S6:S8"/>
    <mergeCell ref="T6:T8"/>
    <mergeCell ref="F6:F8"/>
    <mergeCell ref="N6:N8"/>
    <mergeCell ref="A121:Y121"/>
    <mergeCell ref="X7:X8"/>
    <mergeCell ref="K6:K8"/>
    <mergeCell ref="L6:L8"/>
    <mergeCell ref="M6:M8"/>
    <mergeCell ref="O6:Q6"/>
    <mergeCell ref="V6:X6"/>
    <mergeCell ref="Y6:Y8"/>
    <mergeCell ref="G7:G8"/>
    <mergeCell ref="H7:H8"/>
    <mergeCell ref="I7:I8"/>
    <mergeCell ref="O7:O8"/>
    <mergeCell ref="P7:P8"/>
    <mergeCell ref="R6:R8"/>
    <mergeCell ref="U6:U8"/>
    <mergeCell ref="V7:V8"/>
  </mergeCells>
  <phoneticPr fontId="23" type="noConversion"/>
  <pageMargins left="0.77" right="0.16" top="0.62" bottom="0.56000000000000005" header="0.3" footer="0.3"/>
  <pageSetup paperSize="9" scale="70" firstPageNumber="3" pageOrder="overThenDown" orientation="landscape" verticalDpi="0" r:id="rId1"/>
  <headerFoot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showGridLines="0" showZeros="0" topLeftCell="C10" workbookViewId="0">
      <selection activeCell="C10" sqref="A1:XFD1048576"/>
    </sheetView>
  </sheetViews>
  <sheetFormatPr defaultRowHeight="15"/>
  <cols>
    <col min="1" max="1" width="6.28515625" style="101" customWidth="1"/>
    <col min="2" max="2" width="19.140625" style="101" customWidth="1"/>
    <col min="3" max="5" width="11.140625" style="101" customWidth="1"/>
    <col min="6" max="6" width="9" style="101" customWidth="1"/>
    <col min="7" max="8" width="11.140625" style="101" customWidth="1"/>
    <col min="9" max="9" width="10.42578125" style="101" customWidth="1"/>
    <col min="10" max="10" width="10" style="101" customWidth="1"/>
    <col min="11" max="12" width="11.140625" style="101" customWidth="1"/>
    <col min="13" max="13" width="10.28515625" style="101" customWidth="1"/>
    <col min="14" max="14" width="11.140625" style="101" customWidth="1"/>
    <col min="15" max="15" width="8" style="101" customWidth="1"/>
    <col min="16" max="18" width="11.140625" style="101" customWidth="1"/>
    <col min="19" max="19" width="8.85546875" style="101" customWidth="1"/>
    <col min="20" max="20" width="8.140625" style="101" customWidth="1"/>
    <col min="21" max="21" width="9" style="101" customWidth="1"/>
    <col min="22" max="22" width="8.85546875" style="101" customWidth="1"/>
    <col min="23" max="16384" width="9.140625" style="101"/>
  </cols>
  <sheetData>
    <row r="1" spans="1:22">
      <c r="A1" s="99" t="s">
        <v>95</v>
      </c>
      <c r="B1" s="100"/>
      <c r="C1" s="100"/>
      <c r="D1" s="100"/>
      <c r="E1" s="100"/>
      <c r="F1" s="100"/>
      <c r="G1" s="100"/>
      <c r="H1" s="100"/>
      <c r="I1" s="100"/>
      <c r="J1" s="100"/>
      <c r="K1" s="100"/>
      <c r="L1" s="100"/>
      <c r="M1" s="100"/>
      <c r="N1" s="100"/>
      <c r="O1" s="100"/>
      <c r="P1" s="100"/>
      <c r="Q1" s="100"/>
      <c r="R1" s="100"/>
      <c r="S1" s="100"/>
      <c r="T1" s="100"/>
      <c r="U1" s="100"/>
      <c r="V1" s="100"/>
    </row>
    <row r="2" spans="1:22" ht="19.5" customHeight="1">
      <c r="A2" s="380" t="s">
        <v>492</v>
      </c>
      <c r="B2" s="380"/>
      <c r="C2" s="380"/>
      <c r="D2" s="380"/>
      <c r="E2" s="380"/>
      <c r="F2" s="380"/>
      <c r="G2" s="380"/>
      <c r="H2" s="380"/>
      <c r="I2" s="380"/>
      <c r="J2" s="380"/>
      <c r="K2" s="380"/>
      <c r="L2" s="380"/>
      <c r="M2" s="380"/>
      <c r="N2" s="380"/>
      <c r="O2" s="380"/>
      <c r="P2" s="380"/>
      <c r="Q2" s="380"/>
      <c r="R2" s="380"/>
      <c r="S2" s="380"/>
      <c r="T2" s="380"/>
      <c r="U2" s="380"/>
      <c r="V2" s="380"/>
    </row>
    <row r="3" spans="1:22" ht="18.75" customHeight="1">
      <c r="A3" s="381" t="s">
        <v>435</v>
      </c>
      <c r="B3" s="381"/>
      <c r="C3" s="381"/>
      <c r="D3" s="381"/>
      <c r="E3" s="381"/>
      <c r="F3" s="381"/>
      <c r="G3" s="381"/>
      <c r="H3" s="381"/>
      <c r="I3" s="381"/>
      <c r="J3" s="381"/>
      <c r="K3" s="381"/>
      <c r="L3" s="381"/>
      <c r="M3" s="381"/>
      <c r="N3" s="381"/>
      <c r="O3" s="381"/>
      <c r="P3" s="381"/>
      <c r="Q3" s="381"/>
      <c r="R3" s="381"/>
      <c r="S3" s="381"/>
      <c r="T3" s="381"/>
      <c r="U3" s="381"/>
      <c r="V3" s="381"/>
    </row>
    <row r="4" spans="1:22">
      <c r="A4" s="102" t="s">
        <v>0</v>
      </c>
      <c r="B4" s="102"/>
      <c r="C4" s="102"/>
      <c r="D4" s="102"/>
      <c r="E4" s="102"/>
      <c r="F4" s="102"/>
      <c r="G4" s="102"/>
      <c r="H4" s="102"/>
      <c r="I4" s="102"/>
      <c r="J4" s="102"/>
      <c r="K4" s="102"/>
      <c r="L4" s="102"/>
      <c r="M4" s="102"/>
      <c r="N4" s="102"/>
      <c r="O4" s="102"/>
      <c r="P4" s="102"/>
      <c r="Q4" s="102"/>
      <c r="R4" s="102"/>
      <c r="S4" s="102"/>
      <c r="T4" s="385" t="s">
        <v>440</v>
      </c>
      <c r="U4" s="385"/>
      <c r="V4" s="385"/>
    </row>
    <row r="5" spans="1:22" ht="15" customHeight="1">
      <c r="B5" s="103"/>
      <c r="C5" s="103"/>
      <c r="D5" s="103"/>
      <c r="E5" s="103"/>
      <c r="F5" s="103"/>
      <c r="G5" s="103"/>
      <c r="H5" s="103"/>
      <c r="I5" s="103"/>
      <c r="J5" s="103"/>
      <c r="K5" s="103"/>
      <c r="L5" s="103"/>
      <c r="M5" s="103"/>
      <c r="N5" s="103"/>
      <c r="O5" s="103"/>
      <c r="P5" s="103"/>
      <c r="Q5" s="103"/>
      <c r="R5" s="222"/>
      <c r="T5" s="386"/>
      <c r="U5" s="386"/>
      <c r="V5" s="386"/>
    </row>
    <row r="6" spans="1:22" ht="21" customHeight="1">
      <c r="A6" s="376" t="s">
        <v>134</v>
      </c>
      <c r="B6" s="376" t="s">
        <v>379</v>
      </c>
      <c r="C6" s="376" t="s">
        <v>381</v>
      </c>
      <c r="D6" s="376"/>
      <c r="E6" s="376"/>
      <c r="F6" s="376"/>
      <c r="G6" s="382" t="s">
        <v>96</v>
      </c>
      <c r="H6" s="383"/>
      <c r="I6" s="383"/>
      <c r="J6" s="383"/>
      <c r="K6" s="383"/>
      <c r="L6" s="383"/>
      <c r="M6" s="383"/>
      <c r="N6" s="383"/>
      <c r="O6" s="383"/>
      <c r="P6" s="383"/>
      <c r="Q6" s="383"/>
      <c r="R6" s="384"/>
      <c r="S6" s="376" t="s">
        <v>5</v>
      </c>
      <c r="T6" s="376"/>
      <c r="U6" s="376"/>
      <c r="V6" s="376"/>
    </row>
    <row r="7" spans="1:22" ht="21" customHeight="1">
      <c r="A7" s="376"/>
      <c r="B7" s="376"/>
      <c r="C7" s="376" t="s">
        <v>58</v>
      </c>
      <c r="D7" s="376" t="s">
        <v>9</v>
      </c>
      <c r="E7" s="376" t="s">
        <v>17</v>
      </c>
      <c r="F7" s="376" t="s">
        <v>383</v>
      </c>
      <c r="G7" s="376" t="s">
        <v>58</v>
      </c>
      <c r="H7" s="376" t="s">
        <v>9</v>
      </c>
      <c r="I7" s="376"/>
      <c r="J7" s="376"/>
      <c r="K7" s="376" t="s">
        <v>17</v>
      </c>
      <c r="L7" s="376"/>
      <c r="M7" s="376"/>
      <c r="N7" s="376" t="s">
        <v>97</v>
      </c>
      <c r="O7" s="376"/>
      <c r="P7" s="376"/>
      <c r="Q7" s="376" t="s">
        <v>98</v>
      </c>
      <c r="R7" s="377" t="s">
        <v>156</v>
      </c>
      <c r="S7" s="376" t="s">
        <v>58</v>
      </c>
      <c r="T7" s="376" t="s">
        <v>9</v>
      </c>
      <c r="U7" s="376" t="s">
        <v>17</v>
      </c>
      <c r="V7" s="376" t="s">
        <v>383</v>
      </c>
    </row>
    <row r="8" spans="1:22" ht="21" customHeight="1">
      <c r="A8" s="376"/>
      <c r="B8" s="376"/>
      <c r="C8" s="376"/>
      <c r="D8" s="376"/>
      <c r="E8" s="376"/>
      <c r="F8" s="376"/>
      <c r="G8" s="376"/>
      <c r="H8" s="376" t="s">
        <v>58</v>
      </c>
      <c r="I8" s="376" t="s">
        <v>91</v>
      </c>
      <c r="J8" s="376"/>
      <c r="K8" s="376" t="s">
        <v>58</v>
      </c>
      <c r="L8" s="376" t="s">
        <v>91</v>
      </c>
      <c r="M8" s="376"/>
      <c r="N8" s="376" t="s">
        <v>58</v>
      </c>
      <c r="O8" s="376" t="s">
        <v>91</v>
      </c>
      <c r="P8" s="376"/>
      <c r="Q8" s="376"/>
      <c r="R8" s="378"/>
      <c r="S8" s="376"/>
      <c r="T8" s="376"/>
      <c r="U8" s="376"/>
      <c r="V8" s="376"/>
    </row>
    <row r="9" spans="1:22" ht="78.75" customHeight="1">
      <c r="A9" s="376"/>
      <c r="B9" s="376"/>
      <c r="C9" s="376"/>
      <c r="D9" s="376"/>
      <c r="E9" s="376"/>
      <c r="F9" s="376"/>
      <c r="G9" s="376"/>
      <c r="H9" s="376"/>
      <c r="I9" s="284" t="s">
        <v>99</v>
      </c>
      <c r="J9" s="284" t="s">
        <v>14</v>
      </c>
      <c r="K9" s="376"/>
      <c r="L9" s="284" t="s">
        <v>99</v>
      </c>
      <c r="M9" s="284" t="s">
        <v>14</v>
      </c>
      <c r="N9" s="376"/>
      <c r="O9" s="284" t="s">
        <v>9</v>
      </c>
      <c r="P9" s="284" t="s">
        <v>17</v>
      </c>
      <c r="Q9" s="376"/>
      <c r="R9" s="379"/>
      <c r="S9" s="376"/>
      <c r="T9" s="376"/>
      <c r="U9" s="376"/>
      <c r="V9" s="376"/>
    </row>
    <row r="10" spans="1:22" ht="15.75" customHeight="1">
      <c r="A10" s="299" t="s">
        <v>6</v>
      </c>
      <c r="B10" s="299" t="s">
        <v>23</v>
      </c>
      <c r="C10" s="300" t="s">
        <v>10</v>
      </c>
      <c r="D10" s="300" t="s">
        <v>18</v>
      </c>
      <c r="E10" s="300" t="s">
        <v>27</v>
      </c>
      <c r="F10" s="300" t="s">
        <v>28</v>
      </c>
      <c r="G10" s="300" t="s">
        <v>29</v>
      </c>
      <c r="H10" s="300" t="s">
        <v>30</v>
      </c>
      <c r="I10" s="300" t="s">
        <v>31</v>
      </c>
      <c r="J10" s="300" t="s">
        <v>32</v>
      </c>
      <c r="K10" s="300" t="s">
        <v>33</v>
      </c>
      <c r="L10" s="300" t="s">
        <v>34</v>
      </c>
      <c r="M10" s="300" t="s">
        <v>35</v>
      </c>
      <c r="N10" s="300" t="s">
        <v>36</v>
      </c>
      <c r="O10" s="300" t="s">
        <v>37</v>
      </c>
      <c r="P10" s="300" t="s">
        <v>38</v>
      </c>
      <c r="Q10" s="300" t="s">
        <v>39</v>
      </c>
      <c r="R10" s="300" t="s">
        <v>40</v>
      </c>
      <c r="S10" s="300" t="s">
        <v>543</v>
      </c>
      <c r="T10" s="300" t="s">
        <v>544</v>
      </c>
      <c r="U10" s="300" t="s">
        <v>545</v>
      </c>
      <c r="V10" s="300" t="s">
        <v>116</v>
      </c>
    </row>
    <row r="11" spans="1:22" s="100" customFormat="1" ht="23.25" customHeight="1">
      <c r="A11" s="286"/>
      <c r="B11" s="286" t="s">
        <v>100</v>
      </c>
      <c r="C11" s="287">
        <f t="shared" ref="C11:F11" si="0">SUM(C12:C23)</f>
        <v>69953</v>
      </c>
      <c r="D11" s="287">
        <f>SUM(D12:D23)</f>
        <v>900</v>
      </c>
      <c r="E11" s="287">
        <f t="shared" si="0"/>
        <v>69053</v>
      </c>
      <c r="F11" s="287">
        <f t="shared" si="0"/>
        <v>0</v>
      </c>
      <c r="G11" s="287">
        <f>SUM(G12:G23)</f>
        <v>99835.693635999996</v>
      </c>
      <c r="H11" s="287">
        <f t="shared" ref="H11:R11" si="1">SUM(H12:H23)</f>
        <v>913.39023299999997</v>
      </c>
      <c r="I11" s="287">
        <f t="shared" si="1"/>
        <v>0</v>
      </c>
      <c r="J11" s="287">
        <f t="shared" si="1"/>
        <v>0</v>
      </c>
      <c r="K11" s="287">
        <f>SUM(K12:K23)</f>
        <v>72667.184314999977</v>
      </c>
      <c r="L11" s="287">
        <f t="shared" si="1"/>
        <v>418.58300000000003</v>
      </c>
      <c r="M11" s="287">
        <f t="shared" si="1"/>
        <v>0</v>
      </c>
      <c r="N11" s="287">
        <f t="shared" si="1"/>
        <v>1885.296922</v>
      </c>
      <c r="O11" s="287">
        <f t="shared" si="1"/>
        <v>0</v>
      </c>
      <c r="P11" s="287">
        <f t="shared" si="1"/>
        <v>1885.296922</v>
      </c>
      <c r="Q11" s="287">
        <f t="shared" si="1"/>
        <v>24188.622165999997</v>
      </c>
      <c r="R11" s="287">
        <f t="shared" si="1"/>
        <v>181.2</v>
      </c>
      <c r="S11" s="301">
        <f>G11/C11</f>
        <v>1.4271824458707989</v>
      </c>
      <c r="T11" s="301">
        <f>H11/D11</f>
        <v>1.0148780366666665</v>
      </c>
      <c r="U11" s="301">
        <f>K11/E11</f>
        <v>1.052339280190578</v>
      </c>
      <c r="V11" s="301"/>
    </row>
    <row r="12" spans="1:22" ht="21.95" customHeight="1">
      <c r="A12" s="290" t="s">
        <v>10</v>
      </c>
      <c r="B12" s="291" t="s">
        <v>380</v>
      </c>
      <c r="C12" s="282">
        <f>SUM(D12:F12)</f>
        <v>5267.5</v>
      </c>
      <c r="D12" s="282">
        <v>5</v>
      </c>
      <c r="E12" s="282">
        <v>5262.5</v>
      </c>
      <c r="F12" s="282"/>
      <c r="G12" s="282">
        <f>H12+K12+N12+Q12+R12</f>
        <v>6675.2076340000003</v>
      </c>
      <c r="H12" s="282"/>
      <c r="I12" s="282"/>
      <c r="J12" s="282"/>
      <c r="K12" s="282">
        <v>4803.6181930000002</v>
      </c>
      <c r="L12" s="282">
        <v>6.9</v>
      </c>
      <c r="M12" s="282">
        <v>0</v>
      </c>
      <c r="N12" s="282">
        <f>O12+P12</f>
        <v>244.785786</v>
      </c>
      <c r="O12" s="282"/>
      <c r="P12" s="282">
        <v>244.785786</v>
      </c>
      <c r="Q12" s="282">
        <v>1626.8036549999999</v>
      </c>
      <c r="R12" s="282"/>
      <c r="S12" s="302">
        <f>G12/C12</f>
        <v>1.2672439741813004</v>
      </c>
      <c r="T12" s="302">
        <f>H12/D12</f>
        <v>0</v>
      </c>
      <c r="U12" s="302">
        <f>K12/E12</f>
        <v>0.91280155686460818</v>
      </c>
      <c r="V12" s="302"/>
    </row>
    <row r="13" spans="1:22" ht="21.95" customHeight="1">
      <c r="A13" s="290" t="s">
        <v>18</v>
      </c>
      <c r="B13" s="291" t="s">
        <v>233</v>
      </c>
      <c r="C13" s="282">
        <f t="shared" ref="C13:C23" si="2">SUM(D13:F13)</f>
        <v>4079.5</v>
      </c>
      <c r="D13" s="282"/>
      <c r="E13" s="282">
        <v>4079.5</v>
      </c>
      <c r="F13" s="282"/>
      <c r="G13" s="282">
        <f t="shared" ref="G13:G21" si="3">H13+K13+N13+Q13+R13</f>
        <v>5855.1602170000006</v>
      </c>
      <c r="H13" s="282"/>
      <c r="I13" s="282"/>
      <c r="J13" s="282"/>
      <c r="K13" s="282">
        <v>4740.4653470000003</v>
      </c>
      <c r="L13" s="282">
        <v>355.88299999999998</v>
      </c>
      <c r="M13" s="282">
        <v>0</v>
      </c>
      <c r="N13" s="282">
        <f t="shared" ref="N13:N23" si="4">O13+P13</f>
        <v>176.2</v>
      </c>
      <c r="O13" s="282"/>
      <c r="P13" s="282">
        <v>176.2</v>
      </c>
      <c r="Q13" s="282">
        <v>931.39486999999997</v>
      </c>
      <c r="R13" s="282">
        <v>7.1</v>
      </c>
      <c r="S13" s="302">
        <f t="shared" ref="S13:S23" si="5">G13/C13</f>
        <v>1.43526417869837</v>
      </c>
      <c r="T13" s="302"/>
      <c r="U13" s="302">
        <f t="shared" ref="U13:U23" si="6">K13/E13</f>
        <v>1.1620211660742739</v>
      </c>
      <c r="V13" s="302"/>
    </row>
    <row r="14" spans="1:22" ht="21.95" customHeight="1">
      <c r="A14" s="290" t="s">
        <v>27</v>
      </c>
      <c r="B14" s="291" t="s">
        <v>240</v>
      </c>
      <c r="C14" s="282">
        <f t="shared" si="2"/>
        <v>7593.5</v>
      </c>
      <c r="D14" s="282"/>
      <c r="E14" s="282">
        <v>7593.5</v>
      </c>
      <c r="F14" s="282"/>
      <c r="G14" s="282">
        <f t="shared" si="3"/>
        <v>12642.663893999998</v>
      </c>
      <c r="H14" s="282">
        <v>386.12299999999999</v>
      </c>
      <c r="I14" s="282"/>
      <c r="J14" s="282"/>
      <c r="K14" s="282">
        <v>8303.5474099999992</v>
      </c>
      <c r="L14" s="282">
        <v>8</v>
      </c>
      <c r="M14" s="282">
        <v>0</v>
      </c>
      <c r="N14" s="282">
        <f t="shared" si="4"/>
        <v>49.99</v>
      </c>
      <c r="O14" s="282"/>
      <c r="P14" s="282">
        <v>49.99</v>
      </c>
      <c r="Q14" s="282">
        <v>3903.0034839999998</v>
      </c>
      <c r="R14" s="282"/>
      <c r="S14" s="302">
        <f t="shared" si="5"/>
        <v>1.6649323624152232</v>
      </c>
      <c r="T14" s="302"/>
      <c r="U14" s="302">
        <f t="shared" si="6"/>
        <v>1.0935072641074601</v>
      </c>
      <c r="V14" s="302"/>
    </row>
    <row r="15" spans="1:22" ht="21.95" customHeight="1">
      <c r="A15" s="290" t="s">
        <v>28</v>
      </c>
      <c r="B15" s="291" t="s">
        <v>231</v>
      </c>
      <c r="C15" s="282">
        <f t="shared" si="2"/>
        <v>7010.5</v>
      </c>
      <c r="D15" s="282">
        <v>720</v>
      </c>
      <c r="E15" s="282">
        <v>6290.5</v>
      </c>
      <c r="F15" s="282"/>
      <c r="G15" s="282">
        <f t="shared" si="3"/>
        <v>9021.5555089999998</v>
      </c>
      <c r="H15" s="282">
        <v>99.888000000000005</v>
      </c>
      <c r="I15" s="282"/>
      <c r="J15" s="282"/>
      <c r="K15" s="282">
        <v>6475.8228989999998</v>
      </c>
      <c r="L15" s="282">
        <v>1.5</v>
      </c>
      <c r="M15" s="282">
        <v>0</v>
      </c>
      <c r="N15" s="282">
        <f t="shared" si="4"/>
        <v>147.29159300000001</v>
      </c>
      <c r="O15" s="282"/>
      <c r="P15" s="282">
        <v>147.29159300000001</v>
      </c>
      <c r="Q15" s="282">
        <v>2298.5530170000002</v>
      </c>
      <c r="R15" s="282"/>
      <c r="S15" s="302">
        <f t="shared" si="5"/>
        <v>1.2868633491191783</v>
      </c>
      <c r="T15" s="302">
        <f t="shared" ref="T15:T23" si="7">H15/D15</f>
        <v>0.13873333333333335</v>
      </c>
      <c r="U15" s="302">
        <f t="shared" si="6"/>
        <v>1.0294607581273347</v>
      </c>
      <c r="V15" s="302"/>
    </row>
    <row r="16" spans="1:22" ht="21.95" customHeight="1">
      <c r="A16" s="290" t="s">
        <v>29</v>
      </c>
      <c r="B16" s="291" t="s">
        <v>235</v>
      </c>
      <c r="C16" s="282">
        <f t="shared" si="2"/>
        <v>6135.5</v>
      </c>
      <c r="D16" s="282">
        <v>150</v>
      </c>
      <c r="E16" s="282">
        <v>5985.5</v>
      </c>
      <c r="F16" s="282"/>
      <c r="G16" s="282">
        <f t="shared" si="3"/>
        <v>8638.3889500000005</v>
      </c>
      <c r="H16" s="282">
        <v>387.379233</v>
      </c>
      <c r="I16" s="282"/>
      <c r="J16" s="282"/>
      <c r="K16" s="282">
        <v>6589.192051</v>
      </c>
      <c r="L16" s="282">
        <v>7.2</v>
      </c>
      <c r="M16" s="282">
        <v>0</v>
      </c>
      <c r="N16" s="282">
        <f t="shared" si="4"/>
        <v>173.980999</v>
      </c>
      <c r="O16" s="282"/>
      <c r="P16" s="282">
        <v>173.980999</v>
      </c>
      <c r="Q16" s="282">
        <v>1487.836667</v>
      </c>
      <c r="R16" s="282"/>
      <c r="S16" s="302">
        <f t="shared" si="5"/>
        <v>1.4079356124195257</v>
      </c>
      <c r="T16" s="302">
        <f t="shared" si="7"/>
        <v>2.5825282199999999</v>
      </c>
      <c r="U16" s="302">
        <f t="shared" si="6"/>
        <v>1.1008590846211679</v>
      </c>
      <c r="V16" s="302"/>
    </row>
    <row r="17" spans="1:22" ht="21.95" customHeight="1">
      <c r="A17" s="290" t="s">
        <v>30</v>
      </c>
      <c r="B17" s="291" t="s">
        <v>234</v>
      </c>
      <c r="C17" s="282">
        <f t="shared" si="2"/>
        <v>6036.5</v>
      </c>
      <c r="D17" s="282"/>
      <c r="E17" s="282">
        <v>6036.5</v>
      </c>
      <c r="F17" s="282"/>
      <c r="G17" s="282">
        <f t="shared" si="3"/>
        <v>8152.2659309999999</v>
      </c>
      <c r="H17" s="282"/>
      <c r="I17" s="282"/>
      <c r="J17" s="282"/>
      <c r="K17" s="282">
        <v>6969.690893</v>
      </c>
      <c r="L17" s="282">
        <v>3.8</v>
      </c>
      <c r="M17" s="282">
        <v>0</v>
      </c>
      <c r="N17" s="282">
        <f t="shared" si="4"/>
        <v>149</v>
      </c>
      <c r="O17" s="282"/>
      <c r="P17" s="282">
        <v>149</v>
      </c>
      <c r="Q17" s="282">
        <v>1033.5750379999999</v>
      </c>
      <c r="R17" s="282"/>
      <c r="S17" s="302">
        <f t="shared" si="5"/>
        <v>1.3504954743642839</v>
      </c>
      <c r="T17" s="302"/>
      <c r="U17" s="302">
        <f t="shared" si="6"/>
        <v>1.1545913845771556</v>
      </c>
      <c r="V17" s="302"/>
    </row>
    <row r="18" spans="1:22" ht="21.95" customHeight="1">
      <c r="A18" s="290" t="s">
        <v>31</v>
      </c>
      <c r="B18" s="291" t="s">
        <v>232</v>
      </c>
      <c r="C18" s="282">
        <f t="shared" si="2"/>
        <v>6826.5</v>
      </c>
      <c r="D18" s="282"/>
      <c r="E18" s="282">
        <v>6826.5</v>
      </c>
      <c r="F18" s="282"/>
      <c r="G18" s="282">
        <f t="shared" si="3"/>
        <v>9011.609672999999</v>
      </c>
      <c r="H18" s="282"/>
      <c r="I18" s="282"/>
      <c r="J18" s="282"/>
      <c r="K18" s="282">
        <v>7305.6433699999998</v>
      </c>
      <c r="L18" s="282">
        <v>6.2</v>
      </c>
      <c r="M18" s="282">
        <v>0</v>
      </c>
      <c r="N18" s="282">
        <f t="shared" si="4"/>
        <v>120.754</v>
      </c>
      <c r="O18" s="282"/>
      <c r="P18" s="282">
        <v>120.754</v>
      </c>
      <c r="Q18" s="282">
        <v>1585.212303</v>
      </c>
      <c r="R18" s="282"/>
      <c r="S18" s="302">
        <f t="shared" si="5"/>
        <v>1.3200922395078003</v>
      </c>
      <c r="T18" s="302"/>
      <c r="U18" s="302">
        <f t="shared" si="6"/>
        <v>1.0701887306819013</v>
      </c>
      <c r="V18" s="302"/>
    </row>
    <row r="19" spans="1:22" ht="21.95" customHeight="1">
      <c r="A19" s="290" t="s">
        <v>32</v>
      </c>
      <c r="B19" s="291" t="s">
        <v>238</v>
      </c>
      <c r="C19" s="282">
        <f t="shared" si="2"/>
        <v>5754.5</v>
      </c>
      <c r="D19" s="282"/>
      <c r="E19" s="282">
        <v>5754.5</v>
      </c>
      <c r="F19" s="282"/>
      <c r="G19" s="282">
        <f t="shared" si="3"/>
        <v>8499.7793010000005</v>
      </c>
      <c r="H19" s="282"/>
      <c r="I19" s="282"/>
      <c r="J19" s="282"/>
      <c r="K19" s="282">
        <v>6023.7212989999998</v>
      </c>
      <c r="L19" s="282">
        <v>7.1</v>
      </c>
      <c r="M19" s="282">
        <v>0</v>
      </c>
      <c r="N19" s="282">
        <f t="shared" si="4"/>
        <v>219</v>
      </c>
      <c r="O19" s="282"/>
      <c r="P19" s="282">
        <v>219</v>
      </c>
      <c r="Q19" s="282">
        <v>2253.0580020000002</v>
      </c>
      <c r="R19" s="282">
        <v>4</v>
      </c>
      <c r="S19" s="302">
        <f t="shared" si="5"/>
        <v>1.4770665220262404</v>
      </c>
      <c r="T19" s="302"/>
      <c r="U19" s="302">
        <f t="shared" si="6"/>
        <v>1.0467844815361891</v>
      </c>
      <c r="V19" s="302"/>
    </row>
    <row r="20" spans="1:22" ht="21.95" customHeight="1">
      <c r="A20" s="290" t="s">
        <v>33</v>
      </c>
      <c r="B20" s="291" t="s">
        <v>236</v>
      </c>
      <c r="C20" s="282">
        <f t="shared" si="2"/>
        <v>5246.5</v>
      </c>
      <c r="D20" s="282">
        <v>5</v>
      </c>
      <c r="E20" s="282">
        <v>5241.5</v>
      </c>
      <c r="F20" s="282"/>
      <c r="G20" s="282">
        <f t="shared" si="3"/>
        <v>7395.3775139999998</v>
      </c>
      <c r="H20" s="282"/>
      <c r="I20" s="282"/>
      <c r="J20" s="282"/>
      <c r="K20" s="282">
        <v>5388.8968249999998</v>
      </c>
      <c r="L20" s="282">
        <v>5</v>
      </c>
      <c r="M20" s="282">
        <v>0</v>
      </c>
      <c r="N20" s="282">
        <f t="shared" si="4"/>
        <v>198.79654400000001</v>
      </c>
      <c r="O20" s="282"/>
      <c r="P20" s="282">
        <v>198.79654400000001</v>
      </c>
      <c r="Q20" s="282">
        <v>1807.6841449999999</v>
      </c>
      <c r="R20" s="282"/>
      <c r="S20" s="302">
        <f t="shared" si="5"/>
        <v>1.4095830580386923</v>
      </c>
      <c r="T20" s="302">
        <f t="shared" si="7"/>
        <v>0</v>
      </c>
      <c r="U20" s="302">
        <f t="shared" si="6"/>
        <v>1.0281211151387961</v>
      </c>
      <c r="V20" s="302"/>
    </row>
    <row r="21" spans="1:22" ht="21.95" customHeight="1">
      <c r="A21" s="290" t="s">
        <v>34</v>
      </c>
      <c r="B21" s="291" t="s">
        <v>239</v>
      </c>
      <c r="C21" s="282">
        <f t="shared" si="2"/>
        <v>5952.5</v>
      </c>
      <c r="D21" s="282"/>
      <c r="E21" s="282">
        <v>5952.5</v>
      </c>
      <c r="F21" s="282"/>
      <c r="G21" s="282">
        <f t="shared" si="3"/>
        <v>8825.8769599999996</v>
      </c>
      <c r="H21" s="282"/>
      <c r="I21" s="282"/>
      <c r="J21" s="282"/>
      <c r="K21" s="282">
        <v>5915.1282639999999</v>
      </c>
      <c r="L21" s="282">
        <v>6.8</v>
      </c>
      <c r="M21" s="282">
        <v>0</v>
      </c>
      <c r="N21" s="282">
        <f t="shared" si="4"/>
        <v>89.998000000000005</v>
      </c>
      <c r="O21" s="282"/>
      <c r="P21" s="282">
        <v>89.998000000000005</v>
      </c>
      <c r="Q21" s="282">
        <v>2816.7506960000001</v>
      </c>
      <c r="R21" s="282">
        <v>4</v>
      </c>
      <c r="S21" s="302">
        <f t="shared" si="5"/>
        <v>1.4827176749265014</v>
      </c>
      <c r="T21" s="302"/>
      <c r="U21" s="302">
        <f t="shared" si="6"/>
        <v>0.99372167391852162</v>
      </c>
      <c r="V21" s="302"/>
    </row>
    <row r="22" spans="1:22" ht="21.95" customHeight="1">
      <c r="A22" s="290" t="s">
        <v>35</v>
      </c>
      <c r="B22" s="291" t="s">
        <v>237</v>
      </c>
      <c r="C22" s="282">
        <f t="shared" si="2"/>
        <v>4082.5</v>
      </c>
      <c r="D22" s="282"/>
      <c r="E22" s="282">
        <v>4082.5</v>
      </c>
      <c r="F22" s="282"/>
      <c r="G22" s="282">
        <f>H22+K22+N22+Q22+R22</f>
        <v>6331.6649860000007</v>
      </c>
      <c r="H22" s="282"/>
      <c r="I22" s="282"/>
      <c r="J22" s="282"/>
      <c r="K22" s="282">
        <v>4127.051727</v>
      </c>
      <c r="L22" s="282">
        <v>2.6</v>
      </c>
      <c r="M22" s="282">
        <v>0</v>
      </c>
      <c r="N22" s="282">
        <f t="shared" si="4"/>
        <v>136</v>
      </c>
      <c r="O22" s="282"/>
      <c r="P22" s="282">
        <v>136</v>
      </c>
      <c r="Q22" s="282">
        <v>1902.5132590000001</v>
      </c>
      <c r="R22" s="282">
        <v>166.1</v>
      </c>
      <c r="S22" s="302">
        <f t="shared" si="5"/>
        <v>1.5509283492957748</v>
      </c>
      <c r="T22" s="302"/>
      <c r="U22" s="302">
        <f t="shared" si="6"/>
        <v>1.0109128541334966</v>
      </c>
      <c r="V22" s="302"/>
    </row>
    <row r="23" spans="1:22" ht="21.95" customHeight="1">
      <c r="A23" s="293" t="s">
        <v>36</v>
      </c>
      <c r="B23" s="294" t="s">
        <v>241</v>
      </c>
      <c r="C23" s="303">
        <f t="shared" si="2"/>
        <v>5967.5</v>
      </c>
      <c r="D23" s="295">
        <v>20</v>
      </c>
      <c r="E23" s="295">
        <v>5947.5</v>
      </c>
      <c r="F23" s="295"/>
      <c r="G23" s="295">
        <f>H23+K23+N23+Q23</f>
        <v>8786.1430669999991</v>
      </c>
      <c r="H23" s="295">
        <v>40</v>
      </c>
      <c r="I23" s="295"/>
      <c r="J23" s="295"/>
      <c r="K23" s="295">
        <v>6024.4060369999997</v>
      </c>
      <c r="L23" s="295">
        <v>7.6</v>
      </c>
      <c r="M23" s="295">
        <v>0</v>
      </c>
      <c r="N23" s="303">
        <f t="shared" si="4"/>
        <v>179.5</v>
      </c>
      <c r="O23" s="295"/>
      <c r="P23" s="295">
        <v>179.5</v>
      </c>
      <c r="Q23" s="295">
        <v>2542.2370299999998</v>
      </c>
      <c r="R23" s="303"/>
      <c r="S23" s="304">
        <f t="shared" si="5"/>
        <v>1.4723323111855884</v>
      </c>
      <c r="T23" s="304">
        <f t="shared" si="7"/>
        <v>2</v>
      </c>
      <c r="U23" s="304">
        <f t="shared" si="6"/>
        <v>1.0129308174863387</v>
      </c>
      <c r="V23" s="304"/>
    </row>
    <row r="24" spans="1:22" ht="8.25" customHeight="1">
      <c r="A24" s="305"/>
      <c r="B24" s="305"/>
      <c r="C24" s="306"/>
      <c r="D24" s="306"/>
      <c r="E24" s="306"/>
      <c r="F24" s="306"/>
      <c r="G24" s="306"/>
      <c r="H24" s="306"/>
      <c r="I24" s="306"/>
      <c r="J24" s="306"/>
      <c r="K24" s="306"/>
      <c r="L24" s="306"/>
      <c r="M24" s="306"/>
      <c r="N24" s="306"/>
      <c r="O24" s="306"/>
      <c r="P24" s="306"/>
      <c r="Q24" s="306"/>
      <c r="R24" s="306"/>
      <c r="S24" s="298"/>
      <c r="T24" s="298"/>
      <c r="U24" s="298"/>
      <c r="V24" s="298"/>
    </row>
    <row r="25" spans="1:22" ht="15" customHeight="1">
      <c r="A25" s="297" t="s">
        <v>549</v>
      </c>
      <c r="D25" s="307"/>
      <c r="E25" s="307"/>
      <c r="F25" s="307"/>
      <c r="G25" s="307"/>
      <c r="H25" s="307"/>
      <c r="I25" s="307"/>
      <c r="J25" s="307"/>
      <c r="K25" s="307"/>
      <c r="L25" s="307"/>
      <c r="M25" s="307"/>
      <c r="N25" s="307"/>
      <c r="O25" s="307"/>
      <c r="P25" s="307"/>
      <c r="Q25" s="307"/>
      <c r="R25" s="307"/>
      <c r="S25" s="307"/>
      <c r="T25" s="307"/>
      <c r="U25" s="307"/>
      <c r="V25" s="307"/>
    </row>
    <row r="26" spans="1:22">
      <c r="A26" s="375" t="s">
        <v>0</v>
      </c>
      <c r="B26" s="375"/>
      <c r="C26" s="375"/>
      <c r="D26" s="375"/>
      <c r="E26" s="375"/>
      <c r="F26" s="375"/>
      <c r="G26" s="375"/>
      <c r="H26" s="375"/>
      <c r="I26" s="375"/>
      <c r="J26" s="375"/>
      <c r="K26" s="375"/>
      <c r="L26" s="375"/>
      <c r="M26" s="375"/>
      <c r="N26" s="375"/>
      <c r="O26" s="375"/>
      <c r="P26" s="375"/>
      <c r="Q26" s="375"/>
      <c r="R26" s="375"/>
      <c r="S26" s="375"/>
      <c r="T26" s="375"/>
      <c r="U26" s="375"/>
      <c r="V26" s="375"/>
    </row>
    <row r="27" spans="1:22">
      <c r="A27" s="375" t="s">
        <v>0</v>
      </c>
      <c r="B27" s="375"/>
      <c r="C27" s="375"/>
      <c r="D27" s="375"/>
      <c r="E27" s="375"/>
      <c r="F27" s="375"/>
      <c r="G27" s="375"/>
      <c r="H27" s="375"/>
      <c r="I27" s="375"/>
      <c r="J27" s="375"/>
      <c r="K27" s="375"/>
      <c r="L27" s="375"/>
      <c r="M27" s="375"/>
      <c r="N27" s="375"/>
      <c r="O27" s="375"/>
      <c r="P27" s="375"/>
      <c r="Q27" s="375"/>
      <c r="R27" s="375"/>
      <c r="S27" s="375"/>
      <c r="T27" s="375"/>
      <c r="U27" s="375"/>
      <c r="V27" s="375"/>
    </row>
  </sheetData>
  <mergeCells count="30">
    <mergeCell ref="A2:V2"/>
    <mergeCell ref="A3:V3"/>
    <mergeCell ref="G6:R6"/>
    <mergeCell ref="U7:U9"/>
    <mergeCell ref="T4:V5"/>
    <mergeCell ref="H7:J7"/>
    <mergeCell ref="K7:M7"/>
    <mergeCell ref="N7:P7"/>
    <mergeCell ref="Q7:Q9"/>
    <mergeCell ref="T7:T9"/>
    <mergeCell ref="C7:C9"/>
    <mergeCell ref="D7:D9"/>
    <mergeCell ref="E7:E9"/>
    <mergeCell ref="F7:F9"/>
    <mergeCell ref="G7:G9"/>
    <mergeCell ref="A26:V26"/>
    <mergeCell ref="A27:V27"/>
    <mergeCell ref="V7:V9"/>
    <mergeCell ref="H8:H9"/>
    <mergeCell ref="I8:J8"/>
    <mergeCell ref="K8:K9"/>
    <mergeCell ref="L8:M8"/>
    <mergeCell ref="N8:N9"/>
    <mergeCell ref="O8:P8"/>
    <mergeCell ref="S7:S9"/>
    <mergeCell ref="A6:A9"/>
    <mergeCell ref="B6:B9"/>
    <mergeCell ref="C6:F6"/>
    <mergeCell ref="S6:V6"/>
    <mergeCell ref="R7:R9"/>
  </mergeCells>
  <phoneticPr fontId="29" type="noConversion"/>
  <pageMargins left="0.41" right="0.16" top="0.65" bottom="0.55000000000000004" header="0.28000000000000003" footer="0.2"/>
  <pageSetup paperSize="9" scale="61" fitToHeight="0" orientation="landscape" verticalDpi="0" r:id="rId1"/>
  <headerFoot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GridLines="0" showZeros="0" topLeftCell="D13" zoomScaleNormal="100" zoomScaleSheetLayoutView="100" workbookViewId="0">
      <selection activeCell="D13" sqref="A1:XFD1048576"/>
    </sheetView>
  </sheetViews>
  <sheetFormatPr defaultRowHeight="15"/>
  <cols>
    <col min="1" max="1" width="5.28515625" style="105" customWidth="1"/>
    <col min="2" max="2" width="19.85546875" style="105" customWidth="1"/>
    <col min="3" max="3" width="12.5703125" style="105" customWidth="1"/>
    <col min="4" max="4" width="12.42578125" style="105" customWidth="1"/>
    <col min="5" max="5" width="10.28515625" style="105" customWidth="1"/>
    <col min="6" max="6" width="6.140625" style="105" customWidth="1"/>
    <col min="7" max="7" width="9.28515625" style="105" customWidth="1"/>
    <col min="8" max="8" width="9.85546875" style="105" customWidth="1"/>
    <col min="9" max="9" width="11.140625" style="105" customWidth="1"/>
    <col min="10" max="10" width="10.7109375" style="105" customWidth="1"/>
    <col min="11" max="11" width="11.7109375" style="105" customWidth="1"/>
    <col min="12" max="12" width="11.28515625" style="105" customWidth="1"/>
    <col min="13" max="13" width="10.28515625" style="105" customWidth="1"/>
    <col min="14" max="14" width="4.42578125" style="105" customWidth="1"/>
    <col min="15" max="15" width="9.5703125" style="105" customWidth="1"/>
    <col min="16" max="16" width="9.7109375" style="105" customWidth="1"/>
    <col min="17" max="17" width="11.5703125" style="105" customWidth="1"/>
    <col min="18" max="18" width="10.42578125" style="105" customWidth="1"/>
    <col min="19" max="21" width="10" style="105" customWidth="1"/>
    <col min="22" max="22" width="4.85546875" style="105" customWidth="1"/>
    <col min="23" max="23" width="10" style="105" customWidth="1"/>
    <col min="24" max="24" width="7.5703125" style="105" customWidth="1"/>
    <col min="25" max="25" width="10" style="105" customWidth="1"/>
    <col min="26" max="26" width="8.85546875" style="105" customWidth="1"/>
    <col min="27" max="16384" width="9.140625" style="105"/>
  </cols>
  <sheetData>
    <row r="1" spans="1:26" ht="16.5">
      <c r="A1" s="171" t="s">
        <v>101</v>
      </c>
      <c r="B1" s="104"/>
      <c r="C1" s="104"/>
      <c r="D1" s="104"/>
      <c r="E1" s="104"/>
      <c r="F1" s="104"/>
      <c r="G1" s="104"/>
      <c r="H1" s="104"/>
      <c r="I1" s="104"/>
      <c r="J1" s="104"/>
      <c r="K1" s="104"/>
      <c r="L1" s="104"/>
      <c r="M1" s="104"/>
      <c r="N1" s="104"/>
      <c r="O1" s="104"/>
      <c r="P1" s="104"/>
      <c r="Q1" s="104"/>
      <c r="R1" s="104"/>
      <c r="S1" s="104"/>
      <c r="T1" s="104"/>
      <c r="U1" s="104"/>
      <c r="V1" s="104"/>
      <c r="W1" s="104"/>
      <c r="X1" s="104"/>
      <c r="Y1" s="104"/>
    </row>
    <row r="2" spans="1:26" ht="15" customHeight="1">
      <c r="B2" s="106"/>
      <c r="C2" s="106"/>
      <c r="D2" s="106"/>
      <c r="E2" s="106"/>
      <c r="F2" s="106"/>
      <c r="G2" s="106"/>
      <c r="H2" s="106"/>
      <c r="I2" s="106"/>
      <c r="J2" s="106"/>
      <c r="K2" s="106"/>
      <c r="L2" s="106"/>
      <c r="M2" s="106"/>
      <c r="N2" s="106"/>
      <c r="O2" s="106"/>
      <c r="P2" s="106"/>
      <c r="Q2" s="106"/>
      <c r="R2" s="106"/>
      <c r="S2" s="106"/>
      <c r="T2" s="106"/>
      <c r="U2" s="106"/>
      <c r="V2" s="106"/>
      <c r="W2" s="106"/>
      <c r="X2" s="106"/>
      <c r="Y2" s="106"/>
      <c r="Z2" s="106"/>
    </row>
    <row r="3" spans="1:26" ht="18.75">
      <c r="A3" s="389" t="s">
        <v>540</v>
      </c>
      <c r="B3" s="389"/>
      <c r="C3" s="389"/>
      <c r="D3" s="389"/>
      <c r="E3" s="389"/>
      <c r="F3" s="389"/>
      <c r="G3" s="389"/>
      <c r="H3" s="389"/>
      <c r="I3" s="389"/>
      <c r="J3" s="389"/>
      <c r="K3" s="389"/>
      <c r="L3" s="389"/>
      <c r="M3" s="389"/>
      <c r="N3" s="389"/>
      <c r="O3" s="389"/>
      <c r="P3" s="389"/>
      <c r="Q3" s="389"/>
      <c r="R3" s="389"/>
      <c r="S3" s="389"/>
      <c r="T3" s="389"/>
      <c r="U3" s="389"/>
      <c r="V3" s="389"/>
      <c r="W3" s="389"/>
      <c r="X3" s="389"/>
      <c r="Y3" s="389"/>
      <c r="Z3" s="389"/>
    </row>
    <row r="4" spans="1:26" ht="18.75">
      <c r="A4" s="390" t="s">
        <v>435</v>
      </c>
      <c r="B4" s="390"/>
      <c r="C4" s="390"/>
      <c r="D4" s="390"/>
      <c r="E4" s="390"/>
      <c r="F4" s="390"/>
      <c r="G4" s="390"/>
      <c r="H4" s="390"/>
      <c r="I4" s="390"/>
      <c r="J4" s="390"/>
      <c r="K4" s="390"/>
      <c r="L4" s="390"/>
      <c r="M4" s="390"/>
      <c r="N4" s="390"/>
      <c r="O4" s="390"/>
      <c r="P4" s="390"/>
      <c r="Q4" s="390"/>
      <c r="R4" s="390"/>
      <c r="S4" s="390"/>
      <c r="T4" s="390"/>
      <c r="U4" s="390"/>
      <c r="V4" s="390"/>
      <c r="W4" s="390"/>
      <c r="X4" s="390"/>
      <c r="Y4" s="390"/>
      <c r="Z4" s="390"/>
    </row>
    <row r="5" spans="1:26" ht="23.25" customHeight="1">
      <c r="A5" s="391" t="s">
        <v>494</v>
      </c>
      <c r="B5" s="391"/>
      <c r="C5" s="391"/>
      <c r="D5" s="391"/>
      <c r="E5" s="391"/>
      <c r="F5" s="391"/>
      <c r="G5" s="391"/>
      <c r="H5" s="391"/>
      <c r="I5" s="391"/>
      <c r="J5" s="391"/>
      <c r="K5" s="391"/>
      <c r="L5" s="391"/>
      <c r="M5" s="391"/>
      <c r="N5" s="391"/>
      <c r="O5" s="391"/>
      <c r="P5" s="391"/>
      <c r="Q5" s="391"/>
      <c r="R5" s="391"/>
      <c r="S5" s="391"/>
      <c r="T5" s="391"/>
      <c r="U5" s="391"/>
      <c r="V5" s="391"/>
      <c r="W5" s="391"/>
      <c r="X5" s="391"/>
      <c r="Y5" s="391"/>
      <c r="Z5" s="391"/>
    </row>
    <row r="6" spans="1:26" ht="21.95" customHeight="1">
      <c r="A6" s="376" t="s">
        <v>1</v>
      </c>
      <c r="B6" s="376" t="s">
        <v>493</v>
      </c>
      <c r="C6" s="376" t="s">
        <v>547</v>
      </c>
      <c r="D6" s="376"/>
      <c r="E6" s="376"/>
      <c r="F6" s="376"/>
      <c r="G6" s="376"/>
      <c r="H6" s="376"/>
      <c r="I6" s="376"/>
      <c r="J6" s="376"/>
      <c r="K6" s="392" t="s">
        <v>4</v>
      </c>
      <c r="L6" s="393"/>
      <c r="M6" s="392" t="s">
        <v>4</v>
      </c>
      <c r="N6" s="394"/>
      <c r="O6" s="394"/>
      <c r="P6" s="394"/>
      <c r="Q6" s="394"/>
      <c r="R6" s="393"/>
      <c r="S6" s="376" t="s">
        <v>102</v>
      </c>
      <c r="T6" s="376"/>
      <c r="U6" s="376"/>
      <c r="V6" s="376"/>
      <c r="W6" s="376"/>
      <c r="X6" s="376"/>
      <c r="Y6" s="376"/>
      <c r="Z6" s="376"/>
    </row>
    <row r="7" spans="1:26" ht="21.95" customHeight="1">
      <c r="A7" s="376"/>
      <c r="B7" s="376"/>
      <c r="C7" s="376" t="s">
        <v>58</v>
      </c>
      <c r="D7" s="376" t="s">
        <v>103</v>
      </c>
      <c r="E7" s="376" t="s">
        <v>104</v>
      </c>
      <c r="F7" s="376"/>
      <c r="G7" s="376"/>
      <c r="H7" s="376"/>
      <c r="I7" s="376"/>
      <c r="J7" s="376"/>
      <c r="K7" s="376" t="s">
        <v>58</v>
      </c>
      <c r="L7" s="376" t="s">
        <v>103</v>
      </c>
      <c r="M7" s="376" t="s">
        <v>104</v>
      </c>
      <c r="N7" s="376"/>
      <c r="O7" s="376"/>
      <c r="P7" s="376"/>
      <c r="Q7" s="376"/>
      <c r="R7" s="376"/>
      <c r="S7" s="376" t="s">
        <v>58</v>
      </c>
      <c r="T7" s="376" t="s">
        <v>103</v>
      </c>
      <c r="U7" s="376" t="s">
        <v>104</v>
      </c>
      <c r="V7" s="376"/>
      <c r="W7" s="376"/>
      <c r="X7" s="376"/>
      <c r="Y7" s="376"/>
      <c r="Z7" s="376"/>
    </row>
    <row r="8" spans="1:26" ht="21.95" customHeight="1">
      <c r="A8" s="376"/>
      <c r="B8" s="376"/>
      <c r="C8" s="376"/>
      <c r="D8" s="376"/>
      <c r="E8" s="376" t="s">
        <v>58</v>
      </c>
      <c r="F8" s="376" t="s">
        <v>105</v>
      </c>
      <c r="G8" s="376"/>
      <c r="H8" s="388" t="s">
        <v>106</v>
      </c>
      <c r="I8" s="376" t="s">
        <v>107</v>
      </c>
      <c r="J8" s="376" t="s">
        <v>108</v>
      </c>
      <c r="K8" s="376"/>
      <c r="L8" s="376"/>
      <c r="M8" s="376" t="s">
        <v>58</v>
      </c>
      <c r="N8" s="376" t="s">
        <v>105</v>
      </c>
      <c r="O8" s="376"/>
      <c r="P8" s="388" t="s">
        <v>106</v>
      </c>
      <c r="Q8" s="376" t="s">
        <v>107</v>
      </c>
      <c r="R8" s="376" t="s">
        <v>108</v>
      </c>
      <c r="S8" s="376"/>
      <c r="T8" s="376"/>
      <c r="U8" s="376" t="s">
        <v>58</v>
      </c>
      <c r="V8" s="376" t="s">
        <v>105</v>
      </c>
      <c r="W8" s="376"/>
      <c r="X8" s="388" t="s">
        <v>106</v>
      </c>
      <c r="Y8" s="376" t="s">
        <v>107</v>
      </c>
      <c r="Z8" s="376" t="s">
        <v>108</v>
      </c>
    </row>
    <row r="9" spans="1:26" ht="114.75" customHeight="1">
      <c r="A9" s="376"/>
      <c r="B9" s="376"/>
      <c r="C9" s="376"/>
      <c r="D9" s="376"/>
      <c r="E9" s="376"/>
      <c r="F9" s="283" t="s">
        <v>109</v>
      </c>
      <c r="G9" s="284" t="s">
        <v>110</v>
      </c>
      <c r="H9" s="388"/>
      <c r="I9" s="376"/>
      <c r="J9" s="376"/>
      <c r="K9" s="376"/>
      <c r="L9" s="376"/>
      <c r="M9" s="376"/>
      <c r="N9" s="283" t="s">
        <v>109</v>
      </c>
      <c r="O9" s="284" t="s">
        <v>110</v>
      </c>
      <c r="P9" s="388"/>
      <c r="Q9" s="376"/>
      <c r="R9" s="376"/>
      <c r="S9" s="376"/>
      <c r="T9" s="376"/>
      <c r="U9" s="376"/>
      <c r="V9" s="283" t="s">
        <v>109</v>
      </c>
      <c r="W9" s="284" t="s">
        <v>110</v>
      </c>
      <c r="X9" s="388"/>
      <c r="Y9" s="376"/>
      <c r="Z9" s="376"/>
    </row>
    <row r="10" spans="1:26" ht="42.75">
      <c r="A10" s="284" t="s">
        <v>6</v>
      </c>
      <c r="B10" s="284" t="s">
        <v>23</v>
      </c>
      <c r="C10" s="284" t="s">
        <v>10</v>
      </c>
      <c r="D10" s="284" t="s">
        <v>18</v>
      </c>
      <c r="E10" s="284" t="s">
        <v>111</v>
      </c>
      <c r="F10" s="284" t="s">
        <v>28</v>
      </c>
      <c r="G10" s="284" t="s">
        <v>29</v>
      </c>
      <c r="H10" s="284" t="s">
        <v>30</v>
      </c>
      <c r="I10" s="284" t="s">
        <v>31</v>
      </c>
      <c r="J10" s="284" t="s">
        <v>32</v>
      </c>
      <c r="K10" s="284" t="s">
        <v>33</v>
      </c>
      <c r="L10" s="284" t="s">
        <v>34</v>
      </c>
      <c r="M10" s="284" t="s">
        <v>112</v>
      </c>
      <c r="N10" s="284" t="s">
        <v>36</v>
      </c>
      <c r="O10" s="284" t="s">
        <v>37</v>
      </c>
      <c r="P10" s="284" t="s">
        <v>38</v>
      </c>
      <c r="Q10" s="284" t="s">
        <v>39</v>
      </c>
      <c r="R10" s="284" t="s">
        <v>40</v>
      </c>
      <c r="S10" s="284" t="s">
        <v>113</v>
      </c>
      <c r="T10" s="284" t="s">
        <v>114</v>
      </c>
      <c r="U10" s="284" t="s">
        <v>115</v>
      </c>
      <c r="V10" s="284" t="s">
        <v>116</v>
      </c>
      <c r="W10" s="284" t="s">
        <v>117</v>
      </c>
      <c r="X10" s="284" t="s">
        <v>118</v>
      </c>
      <c r="Y10" s="284" t="s">
        <v>119</v>
      </c>
      <c r="Z10" s="284" t="s">
        <v>120</v>
      </c>
    </row>
    <row r="11" spans="1:26" s="289" customFormat="1" ht="27.75" customHeight="1">
      <c r="A11" s="285"/>
      <c r="B11" s="286" t="s">
        <v>94</v>
      </c>
      <c r="C11" s="287">
        <f>SUM(C12:C23)</f>
        <v>68398</v>
      </c>
      <c r="D11" s="287">
        <f>SUM(D12:D23)</f>
        <v>67888</v>
      </c>
      <c r="E11" s="287">
        <f t="shared" ref="E11:R11" si="0">SUM(E12:E23)</f>
        <v>510</v>
      </c>
      <c r="F11" s="287">
        <f t="shared" si="0"/>
        <v>0</v>
      </c>
      <c r="G11" s="287">
        <f t="shared" si="0"/>
        <v>510</v>
      </c>
      <c r="H11" s="287">
        <f t="shared" si="0"/>
        <v>0</v>
      </c>
      <c r="I11" s="287">
        <f t="shared" si="0"/>
        <v>510</v>
      </c>
      <c r="J11" s="287">
        <f t="shared" si="0"/>
        <v>0</v>
      </c>
      <c r="K11" s="287">
        <f t="shared" si="0"/>
        <v>88874.811111999996</v>
      </c>
      <c r="L11" s="287">
        <f t="shared" si="0"/>
        <v>68211.516694999998</v>
      </c>
      <c r="M11" s="287">
        <f t="shared" si="0"/>
        <v>20663.294417000001</v>
      </c>
      <c r="N11" s="287">
        <f t="shared" si="0"/>
        <v>0</v>
      </c>
      <c r="O11" s="287">
        <f t="shared" si="0"/>
        <v>20663.294417000001</v>
      </c>
      <c r="P11" s="287">
        <f t="shared" si="0"/>
        <v>0</v>
      </c>
      <c r="Q11" s="287">
        <f t="shared" si="0"/>
        <v>5980.2944169999992</v>
      </c>
      <c r="R11" s="287">
        <f t="shared" si="0"/>
        <v>14683</v>
      </c>
      <c r="S11" s="288">
        <f t="shared" ref="S11:U12" si="1">K11/C11</f>
        <v>1.2993773372320827</v>
      </c>
      <c r="T11" s="288">
        <f t="shared" si="1"/>
        <v>1.0047654474281169</v>
      </c>
      <c r="U11" s="288">
        <f t="shared" si="1"/>
        <v>40.516263562745102</v>
      </c>
      <c r="V11" s="288"/>
      <c r="W11" s="288">
        <f>O11/G11</f>
        <v>40.516263562745102</v>
      </c>
      <c r="X11" s="288"/>
      <c r="Y11" s="288">
        <f>Q11/I11</f>
        <v>11.726067484313724</v>
      </c>
      <c r="Z11" s="288"/>
    </row>
    <row r="12" spans="1:26" ht="24" customHeight="1">
      <c r="A12" s="290" t="s">
        <v>10</v>
      </c>
      <c r="B12" s="291" t="s">
        <v>380</v>
      </c>
      <c r="C12" s="282">
        <f>D12+E12</f>
        <v>5227.5</v>
      </c>
      <c r="D12" s="282">
        <f>5211.5-35</f>
        <v>5176.5</v>
      </c>
      <c r="E12" s="282">
        <f>F12+G12</f>
        <v>51</v>
      </c>
      <c r="F12" s="282"/>
      <c r="G12" s="282">
        <v>51</v>
      </c>
      <c r="H12" s="282"/>
      <c r="I12" s="282">
        <v>51</v>
      </c>
      <c r="J12" s="282"/>
      <c r="K12" s="282">
        <f t="shared" ref="K12:K23" si="2">L12+M12</f>
        <v>5887.5455099999999</v>
      </c>
      <c r="L12" s="282">
        <v>4992.8187099999996</v>
      </c>
      <c r="M12" s="282">
        <f>N12+O12</f>
        <v>894.72680000000003</v>
      </c>
      <c r="N12" s="282"/>
      <c r="O12" s="282">
        <v>894.72680000000003</v>
      </c>
      <c r="P12" s="282"/>
      <c r="Q12" s="282">
        <f>O12-R12</f>
        <v>182.72680000000003</v>
      </c>
      <c r="R12" s="282">
        <v>712</v>
      </c>
      <c r="S12" s="292">
        <f t="shared" si="1"/>
        <v>1.1262640860832138</v>
      </c>
      <c r="T12" s="292">
        <f t="shared" si="1"/>
        <v>0.96451631604365873</v>
      </c>
      <c r="U12" s="292">
        <f t="shared" si="1"/>
        <v>17.54366274509804</v>
      </c>
      <c r="V12" s="292"/>
      <c r="W12" s="292">
        <f>O12/G12</f>
        <v>17.54366274509804</v>
      </c>
      <c r="X12" s="292"/>
      <c r="Y12" s="292">
        <f>Q12/I12</f>
        <v>3.5828784313725497</v>
      </c>
      <c r="Z12" s="292"/>
    </row>
    <row r="13" spans="1:26" ht="24" customHeight="1">
      <c r="A13" s="290" t="s">
        <v>18</v>
      </c>
      <c r="B13" s="291" t="s">
        <v>233</v>
      </c>
      <c r="C13" s="282">
        <f t="shared" ref="C13:C23" si="3">D13+E13</f>
        <v>4063.5</v>
      </c>
      <c r="D13" s="282">
        <f>4079.5-16</f>
        <v>4063.5</v>
      </c>
      <c r="E13" s="282">
        <f t="shared" ref="E13:E23" si="4">F13+G13</f>
        <v>0</v>
      </c>
      <c r="F13" s="282"/>
      <c r="G13" s="282">
        <f t="shared" ref="G13:G22" si="5">H13+I13+J13</f>
        <v>0</v>
      </c>
      <c r="H13" s="282"/>
      <c r="I13" s="282"/>
      <c r="J13" s="282"/>
      <c r="K13" s="282">
        <f t="shared" si="2"/>
        <v>5368.8982999999998</v>
      </c>
      <c r="L13" s="282">
        <v>4116.6809999999996</v>
      </c>
      <c r="M13" s="282">
        <f t="shared" ref="M13:M23" si="6">N13+O13</f>
        <v>1252.2173</v>
      </c>
      <c r="N13" s="282"/>
      <c r="O13" s="282">
        <v>1252.2173</v>
      </c>
      <c r="P13" s="282"/>
      <c r="Q13" s="282">
        <f t="shared" ref="Q13:Q23" si="7">O13-R13</f>
        <v>455.21730000000002</v>
      </c>
      <c r="R13" s="282">
        <v>797</v>
      </c>
      <c r="S13" s="292">
        <f t="shared" ref="S13:S23" si="8">K13/C13</f>
        <v>1.3212497354497355</v>
      </c>
      <c r="T13" s="292">
        <f t="shared" ref="T13:T23" si="9">L13/D13</f>
        <v>1.0130874861572534</v>
      </c>
      <c r="U13" s="292"/>
      <c r="V13" s="292"/>
      <c r="W13" s="292"/>
      <c r="X13" s="292"/>
      <c r="Y13" s="292"/>
      <c r="Z13" s="292"/>
    </row>
    <row r="14" spans="1:26" ht="24" customHeight="1">
      <c r="A14" s="290" t="s">
        <v>27</v>
      </c>
      <c r="B14" s="291" t="s">
        <v>240</v>
      </c>
      <c r="C14" s="282">
        <f t="shared" si="3"/>
        <v>7551.5</v>
      </c>
      <c r="D14" s="282">
        <f>7593.5-42</f>
        <v>7551.5</v>
      </c>
      <c r="E14" s="282">
        <f t="shared" si="4"/>
        <v>0</v>
      </c>
      <c r="F14" s="282"/>
      <c r="G14" s="282">
        <f t="shared" si="5"/>
        <v>0</v>
      </c>
      <c r="H14" s="282"/>
      <c r="I14" s="282"/>
      <c r="J14" s="282"/>
      <c r="K14" s="282">
        <f t="shared" si="2"/>
        <v>11320.950606</v>
      </c>
      <c r="L14" s="282">
        <v>7606.0396000000001</v>
      </c>
      <c r="M14" s="282">
        <f t="shared" si="6"/>
        <v>3714.9110059999998</v>
      </c>
      <c r="N14" s="282"/>
      <c r="O14" s="282">
        <v>3714.9110059999998</v>
      </c>
      <c r="P14" s="282"/>
      <c r="Q14" s="282">
        <f t="shared" si="7"/>
        <v>923.91100599999982</v>
      </c>
      <c r="R14" s="282">
        <v>2791</v>
      </c>
      <c r="S14" s="292">
        <f t="shared" si="8"/>
        <v>1.4991658089121367</v>
      </c>
      <c r="T14" s="292">
        <f t="shared" si="9"/>
        <v>1.0072223531748659</v>
      </c>
      <c r="U14" s="292"/>
      <c r="V14" s="292"/>
      <c r="W14" s="292"/>
      <c r="X14" s="292"/>
      <c r="Y14" s="292"/>
      <c r="Z14" s="292"/>
    </row>
    <row r="15" spans="1:26" ht="24" customHeight="1">
      <c r="A15" s="290" t="s">
        <v>28</v>
      </c>
      <c r="B15" s="291" t="s">
        <v>231</v>
      </c>
      <c r="C15" s="282">
        <f>D15+E15</f>
        <v>6057.5</v>
      </c>
      <c r="D15" s="282">
        <f>6188.5-233</f>
        <v>5955.5</v>
      </c>
      <c r="E15" s="282">
        <f t="shared" si="4"/>
        <v>102</v>
      </c>
      <c r="F15" s="282"/>
      <c r="G15" s="282">
        <v>102</v>
      </c>
      <c r="H15" s="282"/>
      <c r="I15" s="282">
        <v>102</v>
      </c>
      <c r="J15" s="282"/>
      <c r="K15" s="282">
        <f>L15+M15</f>
        <v>7541.5823</v>
      </c>
      <c r="L15" s="282">
        <v>5989.3459999999995</v>
      </c>
      <c r="M15" s="282">
        <f t="shared" si="6"/>
        <v>1552.2363</v>
      </c>
      <c r="N15" s="282"/>
      <c r="O15" s="282">
        <v>1552.2363</v>
      </c>
      <c r="P15" s="282"/>
      <c r="Q15" s="282">
        <f t="shared" si="7"/>
        <v>269.23630000000003</v>
      </c>
      <c r="R15" s="282">
        <v>1283</v>
      </c>
      <c r="S15" s="292">
        <f t="shared" si="8"/>
        <v>1.2449991415600494</v>
      </c>
      <c r="T15" s="292">
        <f t="shared" si="9"/>
        <v>1.0056831500293846</v>
      </c>
      <c r="U15" s="292">
        <f t="shared" ref="U15:U23" si="10">M15/E15</f>
        <v>15.21800294117647</v>
      </c>
      <c r="V15" s="292"/>
      <c r="W15" s="292">
        <f t="shared" ref="W15:W23" si="11">O15/G15</f>
        <v>15.21800294117647</v>
      </c>
      <c r="X15" s="292"/>
      <c r="Y15" s="292">
        <f t="shared" ref="Y15:Y23" si="12">Q15/I15</f>
        <v>2.6395715686274515</v>
      </c>
      <c r="Z15" s="292"/>
    </row>
    <row r="16" spans="1:26" ht="24" customHeight="1">
      <c r="A16" s="290" t="s">
        <v>29</v>
      </c>
      <c r="B16" s="291" t="s">
        <v>235</v>
      </c>
      <c r="C16" s="282">
        <f t="shared" si="3"/>
        <v>5819.5</v>
      </c>
      <c r="D16" s="282">
        <f>5883.5-166</f>
        <v>5717.5</v>
      </c>
      <c r="E16" s="282">
        <f t="shared" si="4"/>
        <v>102</v>
      </c>
      <c r="F16" s="282"/>
      <c r="G16" s="282">
        <v>102</v>
      </c>
      <c r="H16" s="282"/>
      <c r="I16" s="282">
        <v>102</v>
      </c>
      <c r="J16" s="282"/>
      <c r="K16" s="282">
        <f t="shared" si="2"/>
        <v>7341.1117000000004</v>
      </c>
      <c r="L16" s="282">
        <v>5738.2838000000002</v>
      </c>
      <c r="M16" s="282">
        <f t="shared" si="6"/>
        <v>1602.8279</v>
      </c>
      <c r="N16" s="282"/>
      <c r="O16" s="282">
        <v>1602.8279</v>
      </c>
      <c r="P16" s="282"/>
      <c r="Q16" s="282">
        <f t="shared" si="7"/>
        <v>832.8279</v>
      </c>
      <c r="R16" s="282">
        <v>770</v>
      </c>
      <c r="S16" s="292">
        <f t="shared" si="8"/>
        <v>1.2614677721453733</v>
      </c>
      <c r="T16" s="292">
        <f t="shared" si="9"/>
        <v>1.0036351202448623</v>
      </c>
      <c r="U16" s="292">
        <f t="shared" si="10"/>
        <v>15.713999019607844</v>
      </c>
      <c r="V16" s="292"/>
      <c r="W16" s="292">
        <f t="shared" si="11"/>
        <v>15.713999019607844</v>
      </c>
      <c r="X16" s="292"/>
      <c r="Y16" s="292">
        <f t="shared" si="12"/>
        <v>8.1649794117647065</v>
      </c>
      <c r="Z16" s="292"/>
    </row>
    <row r="17" spans="1:26" ht="24" customHeight="1">
      <c r="A17" s="290" t="s">
        <v>30</v>
      </c>
      <c r="B17" s="291" t="s">
        <v>234</v>
      </c>
      <c r="C17" s="282">
        <f t="shared" si="3"/>
        <v>6020.5</v>
      </c>
      <c r="D17" s="282">
        <f>6036.5-16</f>
        <v>6020.5</v>
      </c>
      <c r="E17" s="282">
        <f t="shared" si="4"/>
        <v>0</v>
      </c>
      <c r="F17" s="282"/>
      <c r="G17" s="282">
        <f t="shared" si="5"/>
        <v>0</v>
      </c>
      <c r="H17" s="282"/>
      <c r="I17" s="282"/>
      <c r="J17" s="282"/>
      <c r="K17" s="282">
        <f t="shared" si="2"/>
        <v>7776.7591510000002</v>
      </c>
      <c r="L17" s="282">
        <v>6133.47</v>
      </c>
      <c r="M17" s="282">
        <f t="shared" si="6"/>
        <v>1643.2891509999999</v>
      </c>
      <c r="N17" s="282"/>
      <c r="O17" s="282">
        <v>1643.2891509999999</v>
      </c>
      <c r="P17" s="282"/>
      <c r="Q17" s="282">
        <f t="shared" si="7"/>
        <v>983.28915099999995</v>
      </c>
      <c r="R17" s="282">
        <v>660</v>
      </c>
      <c r="S17" s="292">
        <f t="shared" si="8"/>
        <v>1.2917131718295822</v>
      </c>
      <c r="T17" s="292">
        <f t="shared" si="9"/>
        <v>1.0187642222406776</v>
      </c>
      <c r="U17" s="292"/>
      <c r="V17" s="292"/>
      <c r="W17" s="292"/>
      <c r="X17" s="292"/>
      <c r="Y17" s="292"/>
      <c r="Z17" s="292"/>
    </row>
    <row r="18" spans="1:26" ht="24" customHeight="1">
      <c r="A18" s="290" t="s">
        <v>31</v>
      </c>
      <c r="B18" s="291" t="s">
        <v>232</v>
      </c>
      <c r="C18" s="282">
        <f t="shared" si="3"/>
        <v>6813.5</v>
      </c>
      <c r="D18" s="282">
        <f>6775.5-13</f>
        <v>6762.5</v>
      </c>
      <c r="E18" s="282">
        <f t="shared" si="4"/>
        <v>51</v>
      </c>
      <c r="F18" s="282"/>
      <c r="G18" s="282">
        <v>51</v>
      </c>
      <c r="H18" s="282"/>
      <c r="I18" s="282">
        <v>51</v>
      </c>
      <c r="J18" s="282"/>
      <c r="K18" s="282">
        <f t="shared" si="2"/>
        <v>7957.7290749999993</v>
      </c>
      <c r="L18" s="282">
        <v>6923.6924749999998</v>
      </c>
      <c r="M18" s="282">
        <f t="shared" si="6"/>
        <v>1034.0365999999999</v>
      </c>
      <c r="N18" s="282"/>
      <c r="O18" s="282">
        <v>1034.0365999999999</v>
      </c>
      <c r="P18" s="282"/>
      <c r="Q18" s="282">
        <f t="shared" si="7"/>
        <v>126.03659999999991</v>
      </c>
      <c r="R18" s="282">
        <v>908</v>
      </c>
      <c r="S18" s="292">
        <f t="shared" si="8"/>
        <v>1.167935580098334</v>
      </c>
      <c r="T18" s="292">
        <f t="shared" si="9"/>
        <v>1.023836225508318</v>
      </c>
      <c r="U18" s="292">
        <f t="shared" si="10"/>
        <v>20.275227450980392</v>
      </c>
      <c r="V18" s="292"/>
      <c r="W18" s="292">
        <f>O18/G18</f>
        <v>20.275227450980392</v>
      </c>
      <c r="X18" s="292"/>
      <c r="Y18" s="292">
        <f t="shared" si="12"/>
        <v>2.4713058823529392</v>
      </c>
      <c r="Z18" s="292"/>
    </row>
    <row r="19" spans="1:26" ht="24" customHeight="1">
      <c r="A19" s="290" t="s">
        <v>32</v>
      </c>
      <c r="B19" s="291" t="s">
        <v>238</v>
      </c>
      <c r="C19" s="282">
        <f t="shared" si="3"/>
        <v>5741.5</v>
      </c>
      <c r="D19" s="282">
        <f>5754.5-13</f>
        <v>5741.5</v>
      </c>
      <c r="E19" s="282">
        <f t="shared" si="4"/>
        <v>0</v>
      </c>
      <c r="F19" s="282"/>
      <c r="G19" s="282">
        <f t="shared" si="5"/>
        <v>0</v>
      </c>
      <c r="H19" s="282"/>
      <c r="I19" s="282"/>
      <c r="J19" s="282"/>
      <c r="K19" s="282">
        <f t="shared" si="2"/>
        <v>7482.9305700000004</v>
      </c>
      <c r="L19" s="282">
        <v>5632.3885700000001</v>
      </c>
      <c r="M19" s="282">
        <f t="shared" si="6"/>
        <v>1850.5419999999999</v>
      </c>
      <c r="N19" s="282"/>
      <c r="O19" s="282">
        <v>1850.5419999999999</v>
      </c>
      <c r="P19" s="282"/>
      <c r="Q19" s="282">
        <f t="shared" si="7"/>
        <v>517.54199999999992</v>
      </c>
      <c r="R19" s="282">
        <v>1333</v>
      </c>
      <c r="S19" s="292">
        <f t="shared" si="8"/>
        <v>1.3033058556126449</v>
      </c>
      <c r="T19" s="292">
        <f t="shared" si="9"/>
        <v>0.9809960062701385</v>
      </c>
      <c r="U19" s="292"/>
      <c r="V19" s="292"/>
      <c r="W19" s="292"/>
      <c r="X19" s="292"/>
      <c r="Y19" s="292"/>
      <c r="Z19" s="292"/>
    </row>
    <row r="20" spans="1:26" ht="24" customHeight="1">
      <c r="A20" s="290" t="s">
        <v>33</v>
      </c>
      <c r="B20" s="291" t="s">
        <v>236</v>
      </c>
      <c r="C20" s="282">
        <f t="shared" si="3"/>
        <v>5206.5</v>
      </c>
      <c r="D20" s="282">
        <f>5139.5-35</f>
        <v>5104.5</v>
      </c>
      <c r="E20" s="282">
        <f t="shared" si="4"/>
        <v>102</v>
      </c>
      <c r="F20" s="282"/>
      <c r="G20" s="282">
        <v>102</v>
      </c>
      <c r="H20" s="282"/>
      <c r="I20" s="282">
        <v>102</v>
      </c>
      <c r="J20" s="282"/>
      <c r="K20" s="282">
        <f t="shared" si="2"/>
        <v>7189.8622439999999</v>
      </c>
      <c r="L20" s="282">
        <v>5152.8559999999998</v>
      </c>
      <c r="M20" s="282">
        <f t="shared" si="6"/>
        <v>2037.0062439999999</v>
      </c>
      <c r="N20" s="282"/>
      <c r="O20" s="282">
        <v>2037.0062439999999</v>
      </c>
      <c r="P20" s="282"/>
      <c r="Q20" s="282">
        <f t="shared" si="7"/>
        <v>322.00624399999992</v>
      </c>
      <c r="R20" s="282">
        <v>1715</v>
      </c>
      <c r="S20" s="292">
        <f t="shared" si="8"/>
        <v>1.3809396416018438</v>
      </c>
      <c r="T20" s="292">
        <f t="shared" si="9"/>
        <v>1.0094732099128221</v>
      </c>
      <c r="U20" s="292">
        <f t="shared" si="10"/>
        <v>19.970649450980392</v>
      </c>
      <c r="V20" s="292"/>
      <c r="W20" s="292">
        <f t="shared" si="11"/>
        <v>19.970649450980392</v>
      </c>
      <c r="X20" s="292"/>
      <c r="Y20" s="292">
        <f t="shared" si="12"/>
        <v>3.1569239607843129</v>
      </c>
      <c r="Z20" s="292"/>
    </row>
    <row r="21" spans="1:26" ht="24" customHeight="1">
      <c r="A21" s="290" t="s">
        <v>34</v>
      </c>
      <c r="B21" s="291" t="s">
        <v>239</v>
      </c>
      <c r="C21" s="282">
        <f t="shared" si="3"/>
        <v>5940.5</v>
      </c>
      <c r="D21" s="282">
        <f>5952.5-12</f>
        <v>5940.5</v>
      </c>
      <c r="E21" s="282">
        <f t="shared" si="4"/>
        <v>0</v>
      </c>
      <c r="F21" s="282"/>
      <c r="G21" s="282">
        <f t="shared" si="5"/>
        <v>0</v>
      </c>
      <c r="H21" s="282"/>
      <c r="I21" s="282"/>
      <c r="J21" s="282"/>
      <c r="K21" s="282">
        <f t="shared" si="2"/>
        <v>7989.0879400000003</v>
      </c>
      <c r="L21" s="282">
        <v>5989.4705400000003</v>
      </c>
      <c r="M21" s="282">
        <f t="shared" si="6"/>
        <v>1999.6174000000001</v>
      </c>
      <c r="N21" s="282"/>
      <c r="O21" s="282">
        <v>1999.6174000000001</v>
      </c>
      <c r="P21" s="282"/>
      <c r="Q21" s="282">
        <f t="shared" si="7"/>
        <v>277.61740000000009</v>
      </c>
      <c r="R21" s="282">
        <v>1722</v>
      </c>
      <c r="S21" s="292">
        <f t="shared" si="8"/>
        <v>1.3448510967090312</v>
      </c>
      <c r="T21" s="292">
        <f t="shared" si="9"/>
        <v>1.0082435047554921</v>
      </c>
      <c r="U21" s="292"/>
      <c r="V21" s="292"/>
      <c r="W21" s="292"/>
      <c r="X21" s="292"/>
      <c r="Y21" s="292"/>
      <c r="Z21" s="292"/>
    </row>
    <row r="22" spans="1:26" ht="24" customHeight="1">
      <c r="A22" s="290" t="s">
        <v>35</v>
      </c>
      <c r="B22" s="291" t="s">
        <v>237</v>
      </c>
      <c r="C22" s="282">
        <f t="shared" si="3"/>
        <v>4067.5</v>
      </c>
      <c r="D22" s="282">
        <f>4082.5-15</f>
        <v>4067.5</v>
      </c>
      <c r="E22" s="282">
        <f t="shared" si="4"/>
        <v>0</v>
      </c>
      <c r="F22" s="282"/>
      <c r="G22" s="282">
        <f t="shared" si="5"/>
        <v>0</v>
      </c>
      <c r="H22" s="282"/>
      <c r="I22" s="282"/>
      <c r="J22" s="282"/>
      <c r="K22" s="282">
        <f t="shared" si="2"/>
        <v>5919.6719999999996</v>
      </c>
      <c r="L22" s="282">
        <v>4133.32</v>
      </c>
      <c r="M22" s="282">
        <f t="shared" si="6"/>
        <v>1786.3520000000001</v>
      </c>
      <c r="N22" s="282"/>
      <c r="O22" s="282">
        <v>1786.3520000000001</v>
      </c>
      <c r="P22" s="282"/>
      <c r="Q22" s="282">
        <f t="shared" si="7"/>
        <v>148.35200000000009</v>
      </c>
      <c r="R22" s="282">
        <v>1638</v>
      </c>
      <c r="S22" s="292">
        <f t="shared" si="8"/>
        <v>1.455358819913952</v>
      </c>
      <c r="T22" s="292">
        <f t="shared" si="9"/>
        <v>1.0161819299323909</v>
      </c>
      <c r="U22" s="292"/>
      <c r="V22" s="292"/>
      <c r="W22" s="292"/>
      <c r="X22" s="292"/>
      <c r="Y22" s="292"/>
      <c r="Z22" s="292"/>
    </row>
    <row r="23" spans="1:26" ht="24" customHeight="1">
      <c r="A23" s="293" t="s">
        <v>36</v>
      </c>
      <c r="B23" s="294" t="s">
        <v>241</v>
      </c>
      <c r="C23" s="295">
        <f t="shared" si="3"/>
        <v>5888.5</v>
      </c>
      <c r="D23" s="295">
        <f>5845.5-59</f>
        <v>5786.5</v>
      </c>
      <c r="E23" s="295">
        <f t="shared" si="4"/>
        <v>102</v>
      </c>
      <c r="F23" s="295"/>
      <c r="G23" s="295">
        <v>102</v>
      </c>
      <c r="H23" s="295"/>
      <c r="I23" s="295">
        <v>102</v>
      </c>
      <c r="J23" s="295"/>
      <c r="K23" s="295">
        <f t="shared" si="2"/>
        <v>7098.6817159999991</v>
      </c>
      <c r="L23" s="295">
        <v>5803.15</v>
      </c>
      <c r="M23" s="295">
        <f t="shared" si="6"/>
        <v>1295.531716</v>
      </c>
      <c r="N23" s="295"/>
      <c r="O23" s="295">
        <v>1295.531716</v>
      </c>
      <c r="P23" s="295"/>
      <c r="Q23" s="295">
        <f t="shared" si="7"/>
        <v>941.53171599999996</v>
      </c>
      <c r="R23" s="295">
        <v>354</v>
      </c>
      <c r="S23" s="296">
        <f t="shared" si="8"/>
        <v>1.2055161273669015</v>
      </c>
      <c r="T23" s="296">
        <f t="shared" si="9"/>
        <v>1.0028773870215155</v>
      </c>
      <c r="U23" s="296">
        <f t="shared" si="10"/>
        <v>12.701291333333334</v>
      </c>
      <c r="V23" s="296"/>
      <c r="W23" s="296">
        <f t="shared" si="11"/>
        <v>12.701291333333334</v>
      </c>
      <c r="X23" s="296"/>
      <c r="Y23" s="296">
        <f t="shared" si="12"/>
        <v>9.230703098039216</v>
      </c>
      <c r="Z23" s="296"/>
    </row>
    <row r="24" spans="1:26" ht="21.75" customHeight="1">
      <c r="A24" s="297" t="s">
        <v>548</v>
      </c>
      <c r="B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row>
    <row r="25" spans="1:26">
      <c r="A25" s="387" t="s">
        <v>0</v>
      </c>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7"/>
    </row>
    <row r="26" spans="1:26">
      <c r="A26" s="387" t="s">
        <v>0</v>
      </c>
      <c r="B26" s="387"/>
      <c r="C26" s="387"/>
      <c r="D26" s="387"/>
      <c r="E26" s="387"/>
      <c r="F26" s="387"/>
      <c r="G26" s="387"/>
      <c r="H26" s="387"/>
      <c r="I26" s="387"/>
      <c r="J26" s="387"/>
      <c r="K26" s="387"/>
      <c r="L26" s="387"/>
      <c r="M26" s="387"/>
      <c r="N26" s="387"/>
      <c r="O26" s="387"/>
      <c r="P26" s="387"/>
      <c r="Q26" s="387"/>
      <c r="R26" s="387"/>
      <c r="S26" s="387"/>
      <c r="T26" s="387"/>
      <c r="U26" s="387"/>
      <c r="V26" s="387"/>
      <c r="W26" s="387"/>
      <c r="X26" s="387"/>
      <c r="Y26" s="387"/>
    </row>
  </sheetData>
  <mergeCells count="35">
    <mergeCell ref="A3:Z3"/>
    <mergeCell ref="A4:Z4"/>
    <mergeCell ref="C7:C9"/>
    <mergeCell ref="D7:D9"/>
    <mergeCell ref="K7:K9"/>
    <mergeCell ref="E8:E9"/>
    <mergeCell ref="F8:G8"/>
    <mergeCell ref="H8:H9"/>
    <mergeCell ref="J8:J9"/>
    <mergeCell ref="I8:I9"/>
    <mergeCell ref="A5:Z5"/>
    <mergeCell ref="N8:O8"/>
    <mergeCell ref="C6:J6"/>
    <mergeCell ref="K6:L6"/>
    <mergeCell ref="M6:R6"/>
    <mergeCell ref="S6:Z6"/>
    <mergeCell ref="A26:Y26"/>
    <mergeCell ref="U8:U9"/>
    <mergeCell ref="V8:W8"/>
    <mergeCell ref="X8:X9"/>
    <mergeCell ref="Y8:Y9"/>
    <mergeCell ref="L7:L9"/>
    <mergeCell ref="M7:R7"/>
    <mergeCell ref="P8:P9"/>
    <mergeCell ref="Q8:Q9"/>
    <mergeCell ref="R8:R9"/>
    <mergeCell ref="A6:A9"/>
    <mergeCell ref="B6:B9"/>
    <mergeCell ref="Z8:Z9"/>
    <mergeCell ref="U7:Z7"/>
    <mergeCell ref="T7:T9"/>
    <mergeCell ref="A25:Y25"/>
    <mergeCell ref="E7:J7"/>
    <mergeCell ref="S7:S9"/>
    <mergeCell ref="M8:M9"/>
  </mergeCells>
  <pageMargins left="0.56000000000000005" right="0.16" top="0.75" bottom="0.62" header="0.3" footer="0.3"/>
  <pageSetup paperSize="9" scale="54" fitToHeight="0" orientation="landscape" verticalDpi="0" r:id="rId1"/>
  <headerFoot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9"/>
  <sheetViews>
    <sheetView showGridLines="0" showZeros="0" view="pageBreakPreview" topLeftCell="AD7" zoomScaleNormal="130" zoomScaleSheetLayoutView="100" workbookViewId="0">
      <selection activeCell="AD7" sqref="A1:XFD1048576"/>
    </sheetView>
  </sheetViews>
  <sheetFormatPr defaultRowHeight="15"/>
  <cols>
    <col min="1" max="1" width="4.5703125" style="161" customWidth="1"/>
    <col min="2" max="2" width="28" style="161" customWidth="1"/>
    <col min="3" max="3" width="12.42578125" style="161" customWidth="1"/>
    <col min="4" max="6" width="9.7109375" style="161" customWidth="1"/>
    <col min="7" max="8" width="8.85546875" style="161" customWidth="1"/>
    <col min="9" max="9" width="6.7109375" style="161" customWidth="1"/>
    <col min="10" max="11" width="9.7109375" style="161" customWidth="1"/>
    <col min="12" max="12" width="6.7109375" style="161" customWidth="1"/>
    <col min="13" max="15" width="9.7109375" style="161" customWidth="1"/>
    <col min="16" max="16" width="6.7109375" style="161" customWidth="1"/>
    <col min="17" max="18" width="9.7109375" style="161" customWidth="1"/>
    <col min="19" max="19" width="6.7109375" style="161" customWidth="1"/>
    <col min="20" max="22" width="9.7109375" style="161" customWidth="1"/>
    <col min="23" max="23" width="6.7109375" style="161" customWidth="1"/>
    <col min="24" max="25" width="9.7109375" style="161" customWidth="1"/>
    <col min="26" max="26" width="6.7109375" style="161" customWidth="1"/>
    <col min="27" max="30" width="9.7109375" style="161" customWidth="1"/>
    <col min="31" max="31" width="9.140625" style="161" customWidth="1"/>
    <col min="32" max="32" width="7.5703125" style="161" customWidth="1"/>
    <col min="33" max="33" width="6.7109375" style="161" customWidth="1"/>
    <col min="34" max="35" width="8.85546875" style="161" customWidth="1"/>
    <col min="36" max="36" width="6.7109375" style="161" customWidth="1"/>
    <col min="37" max="39" width="9.7109375" style="161" customWidth="1"/>
    <col min="40" max="40" width="6.7109375" style="161" customWidth="1"/>
    <col min="41" max="42" width="9.7109375" style="161" customWidth="1"/>
    <col min="43" max="43" width="6.7109375" style="161" customWidth="1"/>
    <col min="44" max="46" width="9.7109375" style="161" customWidth="1"/>
    <col min="47" max="47" width="6.7109375" style="161" customWidth="1"/>
    <col min="48" max="49" width="9.7109375" style="161" customWidth="1"/>
    <col min="50" max="50" width="6.7109375" style="161" customWidth="1"/>
    <col min="51" max="51" width="9.140625" style="161" customWidth="1"/>
    <col min="52" max="53" width="8.85546875" style="161" customWidth="1"/>
    <col min="54" max="54" width="7.7109375" style="161" customWidth="1"/>
    <col min="55" max="56" width="6.85546875" style="161" customWidth="1"/>
    <col min="57" max="57" width="5.7109375" style="161" customWidth="1"/>
    <col min="58" max="58" width="7.7109375" style="161" customWidth="1"/>
    <col min="59" max="59" width="9.140625" style="161" customWidth="1"/>
    <col min="60" max="60" width="6.28515625" style="161" customWidth="1"/>
    <col min="61" max="62" width="7.7109375" style="161" customWidth="1"/>
    <col min="63" max="63" width="8.28515625" style="161" customWidth="1"/>
    <col min="64" max="64" width="6.28515625" style="161" customWidth="1"/>
    <col min="65" max="65" width="7.7109375" style="161" customWidth="1"/>
    <col min="66" max="66" width="8.42578125" style="161" customWidth="1"/>
    <col min="67" max="67" width="6.28515625" style="161" customWidth="1"/>
    <col min="68" max="69" width="7.7109375" style="161" customWidth="1"/>
    <col min="70" max="70" width="8" style="161" customWidth="1"/>
    <col min="71" max="71" width="6.28515625" style="161" customWidth="1"/>
    <col min="72" max="72" width="7.7109375" style="161" customWidth="1"/>
    <col min="73" max="73" width="7.85546875" style="161" customWidth="1"/>
    <col min="74" max="74" width="6.28515625" style="161" customWidth="1"/>
    <col min="75" max="75" width="9.140625" style="161" customWidth="1"/>
    <col min="76" max="16384" width="9.140625" style="161"/>
  </cols>
  <sheetData>
    <row r="1" spans="1:74" ht="15" customHeight="1">
      <c r="A1" s="160" t="s">
        <v>121</v>
      </c>
    </row>
    <row r="2" spans="1:74" ht="9.75" customHeight="1"/>
    <row r="3" spans="1:74" ht="19.5" customHeight="1">
      <c r="B3" s="162"/>
      <c r="C3" s="371" t="s">
        <v>495</v>
      </c>
      <c r="D3" s="371"/>
      <c r="E3" s="371"/>
      <c r="F3" s="371"/>
      <c r="G3" s="371"/>
      <c r="H3" s="371"/>
      <c r="I3" s="371"/>
      <c r="J3" s="371"/>
      <c r="K3" s="371"/>
      <c r="L3" s="371"/>
      <c r="M3" s="371"/>
      <c r="N3" s="371"/>
      <c r="O3" s="371"/>
      <c r="P3" s="371"/>
      <c r="Q3" s="371"/>
      <c r="R3" s="371"/>
      <c r="S3" s="371"/>
      <c r="T3" s="257"/>
      <c r="U3" s="257"/>
      <c r="V3" s="257"/>
      <c r="W3" s="257"/>
      <c r="X3" s="257"/>
      <c r="Y3" s="257"/>
      <c r="Z3" s="257"/>
      <c r="AA3" s="258"/>
      <c r="AB3" s="258"/>
      <c r="AC3" s="258"/>
      <c r="AD3" s="258"/>
      <c r="AE3" s="162"/>
      <c r="AF3" s="162"/>
      <c r="AG3" s="162"/>
      <c r="AH3" s="162"/>
      <c r="AI3" s="162"/>
      <c r="AJ3" s="162"/>
      <c r="AK3" s="162"/>
      <c r="AL3" s="162"/>
      <c r="AM3" s="162"/>
      <c r="AN3" s="162"/>
      <c r="AO3" s="371"/>
      <c r="AP3" s="371"/>
      <c r="AQ3" s="371"/>
      <c r="AR3" s="371"/>
      <c r="AS3" s="371"/>
      <c r="AT3" s="371"/>
      <c r="AU3" s="371"/>
      <c r="AV3" s="371"/>
      <c r="AW3" s="371"/>
      <c r="AX3" s="371"/>
      <c r="AY3" s="371"/>
      <c r="AZ3" s="371"/>
      <c r="BA3" s="371"/>
      <c r="BB3" s="371"/>
      <c r="BC3" s="371"/>
      <c r="BD3" s="371"/>
      <c r="BE3" s="371"/>
      <c r="BF3" s="371"/>
      <c r="BG3" s="371"/>
      <c r="BH3" s="371"/>
      <c r="BI3" s="404"/>
      <c r="BJ3" s="404"/>
      <c r="BK3" s="404"/>
      <c r="BL3" s="404"/>
      <c r="BM3" s="404"/>
      <c r="BN3" s="404"/>
      <c r="BO3" s="404"/>
      <c r="BP3" s="404"/>
      <c r="BQ3" s="404"/>
      <c r="BR3" s="404"/>
      <c r="BS3" s="404"/>
      <c r="BT3" s="404"/>
      <c r="BU3" s="404"/>
      <c r="BV3" s="404"/>
    </row>
    <row r="4" spans="1:74" ht="18.75">
      <c r="B4" s="162"/>
      <c r="C4" s="359" t="s">
        <v>437</v>
      </c>
      <c r="D4" s="359"/>
      <c r="E4" s="359"/>
      <c r="F4" s="359"/>
      <c r="G4" s="359"/>
      <c r="H4" s="359"/>
      <c r="I4" s="359"/>
      <c r="J4" s="359"/>
      <c r="K4" s="359"/>
      <c r="L4" s="359"/>
      <c r="M4" s="359"/>
      <c r="N4" s="359"/>
      <c r="O4" s="359"/>
      <c r="P4" s="359"/>
      <c r="Q4" s="359"/>
      <c r="R4" s="359"/>
      <c r="S4" s="359"/>
      <c r="T4" s="256"/>
      <c r="U4" s="256"/>
      <c r="V4" s="256"/>
      <c r="W4" s="256"/>
      <c r="X4" s="256"/>
      <c r="Y4" s="256"/>
      <c r="Z4" s="256"/>
      <c r="AA4" s="259"/>
      <c r="AB4" s="259"/>
      <c r="AC4" s="259"/>
      <c r="AD4" s="259"/>
      <c r="AE4" s="162"/>
      <c r="AF4" s="162"/>
      <c r="AG4" s="162"/>
      <c r="AH4" s="162"/>
      <c r="AI4" s="162"/>
      <c r="AJ4" s="162"/>
      <c r="AK4" s="162"/>
      <c r="AL4" s="162"/>
      <c r="AM4" s="162"/>
      <c r="AN4" s="162"/>
      <c r="AO4" s="396"/>
      <c r="AP4" s="396"/>
      <c r="AQ4" s="396"/>
      <c r="AR4" s="396"/>
      <c r="AS4" s="396"/>
      <c r="AT4" s="396"/>
      <c r="AU4" s="396"/>
      <c r="AV4" s="396"/>
      <c r="AW4" s="396"/>
      <c r="AX4" s="396"/>
      <c r="AY4" s="396"/>
      <c r="AZ4" s="396"/>
      <c r="BA4" s="396"/>
      <c r="BB4" s="396"/>
      <c r="BC4" s="396"/>
      <c r="BD4" s="396"/>
      <c r="BE4" s="396"/>
      <c r="BF4" s="396"/>
      <c r="BG4" s="396"/>
      <c r="BH4" s="396"/>
      <c r="BI4" s="405"/>
      <c r="BJ4" s="405"/>
      <c r="BK4" s="405"/>
      <c r="BL4" s="405"/>
      <c r="BM4" s="405"/>
      <c r="BN4" s="405"/>
      <c r="BO4" s="405"/>
      <c r="BP4" s="405"/>
      <c r="BQ4" s="405"/>
      <c r="BR4" s="405"/>
      <c r="BS4" s="405"/>
      <c r="BT4" s="405"/>
      <c r="BU4" s="405"/>
      <c r="BV4" s="405"/>
    </row>
    <row r="5" spans="1:74" ht="11.25" customHeight="1">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row>
    <row r="6" spans="1:74">
      <c r="A6" s="164"/>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M6" s="165"/>
      <c r="BN6" s="165"/>
      <c r="BO6" s="165"/>
      <c r="BP6" s="164"/>
      <c r="BQ6" s="164"/>
      <c r="BR6" s="164"/>
      <c r="BS6" s="406" t="s">
        <v>440</v>
      </c>
      <c r="BT6" s="406"/>
      <c r="BU6" s="406"/>
      <c r="BV6" s="406"/>
    </row>
    <row r="7" spans="1:74" ht="18.75" customHeight="1">
      <c r="A7" s="395" t="s">
        <v>134</v>
      </c>
      <c r="B7" s="395" t="s">
        <v>135</v>
      </c>
      <c r="C7" s="403" t="s">
        <v>3</v>
      </c>
      <c r="D7" s="400"/>
      <c r="E7" s="400"/>
      <c r="F7" s="400"/>
      <c r="G7" s="400"/>
      <c r="H7" s="400"/>
      <c r="I7" s="400"/>
      <c r="J7" s="400"/>
      <c r="K7" s="400"/>
      <c r="L7" s="400"/>
      <c r="M7" s="400"/>
      <c r="N7" s="400"/>
      <c r="O7" s="400"/>
      <c r="P7" s="400"/>
      <c r="Q7" s="400"/>
      <c r="R7" s="400"/>
      <c r="S7" s="400"/>
      <c r="T7" s="400" t="s">
        <v>3</v>
      </c>
      <c r="U7" s="400"/>
      <c r="V7" s="400"/>
      <c r="W7" s="400"/>
      <c r="X7" s="400"/>
      <c r="Y7" s="400"/>
      <c r="Z7" s="401"/>
      <c r="AA7" s="403" t="s">
        <v>4</v>
      </c>
      <c r="AB7" s="400"/>
      <c r="AC7" s="400"/>
      <c r="AD7" s="400"/>
      <c r="AE7" s="400"/>
      <c r="AF7" s="400"/>
      <c r="AG7" s="400"/>
      <c r="AH7" s="400"/>
      <c r="AI7" s="400"/>
      <c r="AJ7" s="400"/>
      <c r="AK7" s="400" t="str">
        <f>AA7</f>
        <v>Quyết toán</v>
      </c>
      <c r="AL7" s="400"/>
      <c r="AM7" s="400"/>
      <c r="AN7" s="400"/>
      <c r="AO7" s="400"/>
      <c r="AP7" s="400"/>
      <c r="AQ7" s="400"/>
      <c r="AR7" s="400"/>
      <c r="AS7" s="400"/>
      <c r="AT7" s="400"/>
      <c r="AU7" s="400"/>
      <c r="AV7" s="400"/>
      <c r="AW7" s="400"/>
      <c r="AX7" s="401"/>
      <c r="AY7" s="403" t="s">
        <v>122</v>
      </c>
      <c r="AZ7" s="400"/>
      <c r="BA7" s="400"/>
      <c r="BB7" s="400" t="s">
        <v>122</v>
      </c>
      <c r="BC7" s="400"/>
      <c r="BD7" s="400"/>
      <c r="BE7" s="400"/>
      <c r="BF7" s="400"/>
      <c r="BG7" s="400"/>
      <c r="BH7" s="400"/>
      <c r="BI7" s="400"/>
      <c r="BJ7" s="400"/>
      <c r="BK7" s="400"/>
      <c r="BL7" s="400"/>
      <c r="BM7" s="400"/>
      <c r="BN7" s="400"/>
      <c r="BO7" s="400"/>
      <c r="BP7" s="400"/>
      <c r="BQ7" s="400"/>
      <c r="BR7" s="400"/>
      <c r="BS7" s="400"/>
      <c r="BT7" s="400"/>
      <c r="BU7" s="400"/>
      <c r="BV7" s="401"/>
    </row>
    <row r="8" spans="1:74" ht="42.75" customHeight="1">
      <c r="A8" s="395"/>
      <c r="B8" s="395"/>
      <c r="C8" s="395" t="s">
        <v>58</v>
      </c>
      <c r="D8" s="395" t="s">
        <v>91</v>
      </c>
      <c r="E8" s="395"/>
      <c r="F8" s="395" t="s">
        <v>496</v>
      </c>
      <c r="G8" s="395"/>
      <c r="H8" s="395"/>
      <c r="I8" s="395"/>
      <c r="J8" s="395"/>
      <c r="K8" s="395"/>
      <c r="L8" s="395"/>
      <c r="M8" s="395" t="s">
        <v>497</v>
      </c>
      <c r="N8" s="395"/>
      <c r="O8" s="395"/>
      <c r="P8" s="395"/>
      <c r="Q8" s="395"/>
      <c r="R8" s="395"/>
      <c r="S8" s="395"/>
      <c r="T8" s="395" t="s">
        <v>498</v>
      </c>
      <c r="U8" s="395"/>
      <c r="V8" s="395"/>
      <c r="W8" s="395"/>
      <c r="X8" s="395"/>
      <c r="Y8" s="395"/>
      <c r="Z8" s="395"/>
      <c r="AA8" s="395" t="s">
        <v>58</v>
      </c>
      <c r="AB8" s="395" t="s">
        <v>91</v>
      </c>
      <c r="AC8" s="395"/>
      <c r="AD8" s="395" t="s">
        <v>496</v>
      </c>
      <c r="AE8" s="395"/>
      <c r="AF8" s="395"/>
      <c r="AG8" s="395"/>
      <c r="AH8" s="395"/>
      <c r="AI8" s="395"/>
      <c r="AJ8" s="395"/>
      <c r="AK8" s="395" t="s">
        <v>497</v>
      </c>
      <c r="AL8" s="395"/>
      <c r="AM8" s="395"/>
      <c r="AN8" s="395"/>
      <c r="AO8" s="395"/>
      <c r="AP8" s="395"/>
      <c r="AQ8" s="395"/>
      <c r="AR8" s="395" t="s">
        <v>498</v>
      </c>
      <c r="AS8" s="395"/>
      <c r="AT8" s="395"/>
      <c r="AU8" s="395"/>
      <c r="AV8" s="395"/>
      <c r="AW8" s="395"/>
      <c r="AX8" s="395"/>
      <c r="AY8" s="397" t="s">
        <v>58</v>
      </c>
      <c r="AZ8" s="395" t="s">
        <v>91</v>
      </c>
      <c r="BA8" s="395"/>
      <c r="BB8" s="395" t="s">
        <v>496</v>
      </c>
      <c r="BC8" s="395"/>
      <c r="BD8" s="395"/>
      <c r="BE8" s="395"/>
      <c r="BF8" s="395"/>
      <c r="BG8" s="395"/>
      <c r="BH8" s="395"/>
      <c r="BI8" s="395" t="s">
        <v>497</v>
      </c>
      <c r="BJ8" s="395"/>
      <c r="BK8" s="395"/>
      <c r="BL8" s="395"/>
      <c r="BM8" s="395"/>
      <c r="BN8" s="395"/>
      <c r="BO8" s="395"/>
      <c r="BP8" s="395" t="s">
        <v>539</v>
      </c>
      <c r="BQ8" s="395"/>
      <c r="BR8" s="395"/>
      <c r="BS8" s="395"/>
      <c r="BT8" s="395"/>
      <c r="BU8" s="395"/>
      <c r="BV8" s="395"/>
    </row>
    <row r="9" spans="1:74" ht="35.25" customHeight="1">
      <c r="A9" s="395"/>
      <c r="B9" s="395"/>
      <c r="C9" s="395"/>
      <c r="D9" s="395" t="s">
        <v>123</v>
      </c>
      <c r="E9" s="395" t="s">
        <v>124</v>
      </c>
      <c r="F9" s="395" t="s">
        <v>58</v>
      </c>
      <c r="G9" s="395" t="s">
        <v>9</v>
      </c>
      <c r="H9" s="395"/>
      <c r="I9" s="395"/>
      <c r="J9" s="395" t="s">
        <v>124</v>
      </c>
      <c r="K9" s="395"/>
      <c r="L9" s="395"/>
      <c r="M9" s="395" t="s">
        <v>58</v>
      </c>
      <c r="N9" s="395" t="s">
        <v>9</v>
      </c>
      <c r="O9" s="395"/>
      <c r="P9" s="395"/>
      <c r="Q9" s="395" t="s">
        <v>124</v>
      </c>
      <c r="R9" s="395"/>
      <c r="S9" s="395"/>
      <c r="T9" s="395" t="s">
        <v>58</v>
      </c>
      <c r="U9" s="395" t="s">
        <v>9</v>
      </c>
      <c r="V9" s="395"/>
      <c r="W9" s="395"/>
      <c r="X9" s="395" t="s">
        <v>124</v>
      </c>
      <c r="Y9" s="395"/>
      <c r="Z9" s="395"/>
      <c r="AA9" s="395"/>
      <c r="AB9" s="395" t="s">
        <v>123</v>
      </c>
      <c r="AC9" s="395" t="s">
        <v>124</v>
      </c>
      <c r="AD9" s="395" t="s">
        <v>58</v>
      </c>
      <c r="AE9" s="395" t="s">
        <v>9</v>
      </c>
      <c r="AF9" s="395"/>
      <c r="AG9" s="395"/>
      <c r="AH9" s="395" t="s">
        <v>124</v>
      </c>
      <c r="AI9" s="395"/>
      <c r="AJ9" s="395"/>
      <c r="AK9" s="395" t="s">
        <v>58</v>
      </c>
      <c r="AL9" s="395" t="s">
        <v>9</v>
      </c>
      <c r="AM9" s="395"/>
      <c r="AN9" s="395"/>
      <c r="AO9" s="395" t="s">
        <v>124</v>
      </c>
      <c r="AP9" s="395"/>
      <c r="AQ9" s="395"/>
      <c r="AR9" s="395" t="s">
        <v>58</v>
      </c>
      <c r="AS9" s="395" t="s">
        <v>9</v>
      </c>
      <c r="AT9" s="395"/>
      <c r="AU9" s="395"/>
      <c r="AV9" s="395" t="s">
        <v>124</v>
      </c>
      <c r="AW9" s="395"/>
      <c r="AX9" s="395"/>
      <c r="AY9" s="398"/>
      <c r="AZ9" s="395" t="s">
        <v>123</v>
      </c>
      <c r="BA9" s="395" t="s">
        <v>124</v>
      </c>
      <c r="BB9" s="395" t="s">
        <v>58</v>
      </c>
      <c r="BC9" s="395" t="s">
        <v>9</v>
      </c>
      <c r="BD9" s="395"/>
      <c r="BE9" s="395"/>
      <c r="BF9" s="395" t="s">
        <v>124</v>
      </c>
      <c r="BG9" s="395"/>
      <c r="BH9" s="395"/>
      <c r="BI9" s="395" t="s">
        <v>58</v>
      </c>
      <c r="BJ9" s="395" t="s">
        <v>9</v>
      </c>
      <c r="BK9" s="395"/>
      <c r="BL9" s="395"/>
      <c r="BM9" s="395" t="s">
        <v>124</v>
      </c>
      <c r="BN9" s="395"/>
      <c r="BO9" s="395"/>
      <c r="BP9" s="395" t="s">
        <v>58</v>
      </c>
      <c r="BQ9" s="395" t="s">
        <v>9</v>
      </c>
      <c r="BR9" s="395"/>
      <c r="BS9" s="395"/>
      <c r="BT9" s="395" t="s">
        <v>124</v>
      </c>
      <c r="BU9" s="395"/>
      <c r="BV9" s="395"/>
    </row>
    <row r="10" spans="1:74" ht="17.25" customHeight="1">
      <c r="A10" s="395"/>
      <c r="B10" s="395"/>
      <c r="C10" s="395"/>
      <c r="D10" s="395"/>
      <c r="E10" s="395"/>
      <c r="F10" s="395"/>
      <c r="G10" s="395" t="s">
        <v>58</v>
      </c>
      <c r="H10" s="395" t="s">
        <v>125</v>
      </c>
      <c r="I10" s="395"/>
      <c r="J10" s="395" t="s">
        <v>58</v>
      </c>
      <c r="K10" s="395" t="s">
        <v>125</v>
      </c>
      <c r="L10" s="395"/>
      <c r="M10" s="395"/>
      <c r="N10" s="395" t="s">
        <v>58</v>
      </c>
      <c r="O10" s="395" t="s">
        <v>125</v>
      </c>
      <c r="P10" s="395"/>
      <c r="Q10" s="395" t="s">
        <v>58</v>
      </c>
      <c r="R10" s="395" t="s">
        <v>125</v>
      </c>
      <c r="S10" s="395"/>
      <c r="T10" s="395"/>
      <c r="U10" s="395" t="s">
        <v>58</v>
      </c>
      <c r="V10" s="395" t="s">
        <v>125</v>
      </c>
      <c r="W10" s="395"/>
      <c r="X10" s="395" t="s">
        <v>58</v>
      </c>
      <c r="Y10" s="395" t="s">
        <v>125</v>
      </c>
      <c r="Z10" s="395"/>
      <c r="AA10" s="395"/>
      <c r="AB10" s="395"/>
      <c r="AC10" s="395"/>
      <c r="AD10" s="395"/>
      <c r="AE10" s="395" t="s">
        <v>58</v>
      </c>
      <c r="AF10" s="395" t="s">
        <v>125</v>
      </c>
      <c r="AG10" s="395"/>
      <c r="AH10" s="395" t="s">
        <v>58</v>
      </c>
      <c r="AI10" s="395" t="s">
        <v>125</v>
      </c>
      <c r="AJ10" s="395"/>
      <c r="AK10" s="395"/>
      <c r="AL10" s="395" t="s">
        <v>58</v>
      </c>
      <c r="AM10" s="395" t="s">
        <v>125</v>
      </c>
      <c r="AN10" s="395"/>
      <c r="AO10" s="395" t="s">
        <v>58</v>
      </c>
      <c r="AP10" s="395" t="s">
        <v>125</v>
      </c>
      <c r="AQ10" s="395"/>
      <c r="AR10" s="395"/>
      <c r="AS10" s="395" t="s">
        <v>58</v>
      </c>
      <c r="AT10" s="395" t="s">
        <v>125</v>
      </c>
      <c r="AU10" s="395"/>
      <c r="AV10" s="395" t="s">
        <v>58</v>
      </c>
      <c r="AW10" s="395" t="s">
        <v>125</v>
      </c>
      <c r="AX10" s="395"/>
      <c r="AY10" s="398"/>
      <c r="AZ10" s="395"/>
      <c r="BA10" s="395"/>
      <c r="BB10" s="395"/>
      <c r="BC10" s="395" t="s">
        <v>58</v>
      </c>
      <c r="BD10" s="395" t="s">
        <v>125</v>
      </c>
      <c r="BE10" s="395"/>
      <c r="BF10" s="395" t="s">
        <v>58</v>
      </c>
      <c r="BG10" s="395" t="s">
        <v>125</v>
      </c>
      <c r="BH10" s="395"/>
      <c r="BI10" s="395"/>
      <c r="BJ10" s="395" t="s">
        <v>58</v>
      </c>
      <c r="BK10" s="395" t="s">
        <v>125</v>
      </c>
      <c r="BL10" s="395"/>
      <c r="BM10" s="395" t="s">
        <v>58</v>
      </c>
      <c r="BN10" s="395" t="s">
        <v>125</v>
      </c>
      <c r="BO10" s="395"/>
      <c r="BP10" s="395"/>
      <c r="BQ10" s="395" t="s">
        <v>58</v>
      </c>
      <c r="BR10" s="395" t="s">
        <v>125</v>
      </c>
      <c r="BS10" s="395"/>
      <c r="BT10" s="395" t="s">
        <v>58</v>
      </c>
      <c r="BU10" s="395" t="s">
        <v>125</v>
      </c>
      <c r="BV10" s="395"/>
    </row>
    <row r="11" spans="1:74" ht="59.25" customHeight="1">
      <c r="A11" s="395"/>
      <c r="B11" s="395"/>
      <c r="C11" s="395"/>
      <c r="D11" s="395"/>
      <c r="E11" s="395"/>
      <c r="F11" s="395"/>
      <c r="G11" s="395"/>
      <c r="H11" s="260" t="s">
        <v>110</v>
      </c>
      <c r="I11" s="260" t="s">
        <v>395</v>
      </c>
      <c r="J11" s="395"/>
      <c r="K11" s="260" t="s">
        <v>110</v>
      </c>
      <c r="L11" s="260" t="s">
        <v>395</v>
      </c>
      <c r="M11" s="395"/>
      <c r="N11" s="395"/>
      <c r="O11" s="260" t="s">
        <v>110</v>
      </c>
      <c r="P11" s="260" t="s">
        <v>395</v>
      </c>
      <c r="Q11" s="395"/>
      <c r="R11" s="260" t="s">
        <v>110</v>
      </c>
      <c r="S11" s="260" t="s">
        <v>395</v>
      </c>
      <c r="T11" s="395"/>
      <c r="U11" s="395"/>
      <c r="V11" s="260" t="s">
        <v>110</v>
      </c>
      <c r="W11" s="260" t="s">
        <v>395</v>
      </c>
      <c r="X11" s="395"/>
      <c r="Y11" s="260" t="s">
        <v>110</v>
      </c>
      <c r="Z11" s="260" t="s">
        <v>395</v>
      </c>
      <c r="AA11" s="395"/>
      <c r="AB11" s="395"/>
      <c r="AC11" s="395"/>
      <c r="AD11" s="395"/>
      <c r="AE11" s="395"/>
      <c r="AF11" s="260" t="s">
        <v>110</v>
      </c>
      <c r="AG11" s="260" t="s">
        <v>395</v>
      </c>
      <c r="AH11" s="395"/>
      <c r="AI11" s="260" t="s">
        <v>110</v>
      </c>
      <c r="AJ11" s="260" t="s">
        <v>395</v>
      </c>
      <c r="AK11" s="395"/>
      <c r="AL11" s="395"/>
      <c r="AM11" s="260" t="s">
        <v>110</v>
      </c>
      <c r="AN11" s="260" t="s">
        <v>395</v>
      </c>
      <c r="AO11" s="395"/>
      <c r="AP11" s="260" t="s">
        <v>110</v>
      </c>
      <c r="AQ11" s="260" t="s">
        <v>395</v>
      </c>
      <c r="AR11" s="395"/>
      <c r="AS11" s="395"/>
      <c r="AT11" s="260" t="s">
        <v>110</v>
      </c>
      <c r="AU11" s="260" t="s">
        <v>395</v>
      </c>
      <c r="AV11" s="395"/>
      <c r="AW11" s="260" t="s">
        <v>110</v>
      </c>
      <c r="AX11" s="260" t="s">
        <v>395</v>
      </c>
      <c r="AY11" s="399"/>
      <c r="AZ11" s="395"/>
      <c r="BA11" s="395"/>
      <c r="BB11" s="395"/>
      <c r="BC11" s="395"/>
      <c r="BD11" s="260" t="s">
        <v>110</v>
      </c>
      <c r="BE11" s="260" t="s">
        <v>395</v>
      </c>
      <c r="BF11" s="395"/>
      <c r="BG11" s="260" t="s">
        <v>110</v>
      </c>
      <c r="BH11" s="260" t="s">
        <v>395</v>
      </c>
      <c r="BI11" s="395"/>
      <c r="BJ11" s="395"/>
      <c r="BK11" s="260" t="s">
        <v>110</v>
      </c>
      <c r="BL11" s="260" t="s">
        <v>395</v>
      </c>
      <c r="BM11" s="395"/>
      <c r="BN11" s="260" t="s">
        <v>110</v>
      </c>
      <c r="BO11" s="260" t="s">
        <v>395</v>
      </c>
      <c r="BP11" s="395"/>
      <c r="BQ11" s="395"/>
      <c r="BR11" s="260" t="s">
        <v>110</v>
      </c>
      <c r="BS11" s="260" t="s">
        <v>395</v>
      </c>
      <c r="BT11" s="395"/>
      <c r="BU11" s="260" t="s">
        <v>110</v>
      </c>
      <c r="BV11" s="260" t="s">
        <v>395</v>
      </c>
    </row>
    <row r="12" spans="1:74" ht="32.25" customHeight="1">
      <c r="A12" s="261" t="s">
        <v>6</v>
      </c>
      <c r="B12" s="261" t="s">
        <v>23</v>
      </c>
      <c r="C12" s="261" t="s">
        <v>10</v>
      </c>
      <c r="D12" s="261" t="s">
        <v>18</v>
      </c>
      <c r="E12" s="261" t="s">
        <v>27</v>
      </c>
      <c r="F12" s="261" t="s">
        <v>28</v>
      </c>
      <c r="G12" s="261" t="s">
        <v>29</v>
      </c>
      <c r="H12" s="261" t="s">
        <v>30</v>
      </c>
      <c r="I12" s="261" t="s">
        <v>31</v>
      </c>
      <c r="J12" s="261" t="s">
        <v>32</v>
      </c>
      <c r="K12" s="261" t="s">
        <v>33</v>
      </c>
      <c r="L12" s="261" t="s">
        <v>34</v>
      </c>
      <c r="M12" s="261" t="s">
        <v>35</v>
      </c>
      <c r="N12" s="261" t="s">
        <v>36</v>
      </c>
      <c r="O12" s="261" t="s">
        <v>37</v>
      </c>
      <c r="P12" s="261" t="s">
        <v>38</v>
      </c>
      <c r="Q12" s="261" t="s">
        <v>39</v>
      </c>
      <c r="R12" s="261" t="s">
        <v>40</v>
      </c>
      <c r="S12" s="261" t="s">
        <v>61</v>
      </c>
      <c r="T12" s="261" t="s">
        <v>62</v>
      </c>
      <c r="U12" s="261" t="s">
        <v>63</v>
      </c>
      <c r="V12" s="261" t="s">
        <v>64</v>
      </c>
      <c r="W12" s="261" t="s">
        <v>65</v>
      </c>
      <c r="X12" s="261" t="s">
        <v>66</v>
      </c>
      <c r="Y12" s="261" t="s">
        <v>67</v>
      </c>
      <c r="Z12" s="261" t="s">
        <v>68</v>
      </c>
      <c r="AA12" s="261" t="s">
        <v>69</v>
      </c>
      <c r="AB12" s="261" t="s">
        <v>70</v>
      </c>
      <c r="AC12" s="261" t="s">
        <v>71</v>
      </c>
      <c r="AD12" s="261" t="s">
        <v>126</v>
      </c>
      <c r="AE12" s="261" t="s">
        <v>127</v>
      </c>
      <c r="AF12" s="261" t="s">
        <v>128</v>
      </c>
      <c r="AG12" s="261" t="s">
        <v>129</v>
      </c>
      <c r="AH12" s="261" t="s">
        <v>130</v>
      </c>
      <c r="AI12" s="261" t="s">
        <v>131</v>
      </c>
      <c r="AJ12" s="261" t="s">
        <v>132</v>
      </c>
      <c r="AK12" s="261" t="s">
        <v>267</v>
      </c>
      <c r="AL12" s="261" t="s">
        <v>401</v>
      </c>
      <c r="AM12" s="261" t="s">
        <v>268</v>
      </c>
      <c r="AN12" s="261" t="s">
        <v>269</v>
      </c>
      <c r="AO12" s="261" t="s">
        <v>270</v>
      </c>
      <c r="AP12" s="261" t="s">
        <v>271</v>
      </c>
      <c r="AQ12" s="261" t="s">
        <v>272</v>
      </c>
      <c r="AR12" s="261" t="s">
        <v>273</v>
      </c>
      <c r="AS12" s="261" t="s">
        <v>274</v>
      </c>
      <c r="AT12" s="261" t="s">
        <v>275</v>
      </c>
      <c r="AU12" s="261" t="s">
        <v>276</v>
      </c>
      <c r="AV12" s="261" t="s">
        <v>315</v>
      </c>
      <c r="AW12" s="261" t="s">
        <v>316</v>
      </c>
      <c r="AX12" s="261" t="s">
        <v>317</v>
      </c>
      <c r="AY12" s="261" t="s">
        <v>514</v>
      </c>
      <c r="AZ12" s="261" t="s">
        <v>515</v>
      </c>
      <c r="BA12" s="261" t="s">
        <v>516</v>
      </c>
      <c r="BB12" s="261" t="s">
        <v>517</v>
      </c>
      <c r="BC12" s="261" t="s">
        <v>518</v>
      </c>
      <c r="BD12" s="261" t="s">
        <v>519</v>
      </c>
      <c r="BE12" s="261" t="s">
        <v>520</v>
      </c>
      <c r="BF12" s="261" t="s">
        <v>521</v>
      </c>
      <c r="BG12" s="261" t="s">
        <v>522</v>
      </c>
      <c r="BH12" s="261" t="s">
        <v>523</v>
      </c>
      <c r="BI12" s="261" t="s">
        <v>524</v>
      </c>
      <c r="BJ12" s="261" t="s">
        <v>525</v>
      </c>
      <c r="BK12" s="261" t="s">
        <v>526</v>
      </c>
      <c r="BL12" s="261" t="s">
        <v>527</v>
      </c>
      <c r="BM12" s="261" t="s">
        <v>528</v>
      </c>
      <c r="BN12" s="261" t="s">
        <v>529</v>
      </c>
      <c r="BO12" s="261" t="s">
        <v>530</v>
      </c>
      <c r="BP12" s="261" t="s">
        <v>531</v>
      </c>
      <c r="BQ12" s="261" t="s">
        <v>532</v>
      </c>
      <c r="BR12" s="261" t="s">
        <v>533</v>
      </c>
      <c r="BS12" s="261" t="s">
        <v>534</v>
      </c>
      <c r="BT12" s="261" t="s">
        <v>535</v>
      </c>
      <c r="BU12" s="261" t="s">
        <v>536</v>
      </c>
      <c r="BV12" s="261" t="s">
        <v>537</v>
      </c>
    </row>
    <row r="13" spans="1:74" s="162" customFormat="1" ht="26.25" customHeight="1">
      <c r="A13" s="262" t="s">
        <v>0</v>
      </c>
      <c r="B13" s="262" t="s">
        <v>100</v>
      </c>
      <c r="C13" s="263">
        <f t="shared" ref="C13:AX13" si="0">C14+C35</f>
        <v>86265</v>
      </c>
      <c r="D13" s="263">
        <f t="shared" si="0"/>
        <v>64944</v>
      </c>
      <c r="E13" s="263">
        <f t="shared" si="0"/>
        <v>21321</v>
      </c>
      <c r="F13" s="263">
        <f t="shared" si="0"/>
        <v>4619</v>
      </c>
      <c r="G13" s="263">
        <f t="shared" si="0"/>
        <v>0</v>
      </c>
      <c r="H13" s="263">
        <f t="shared" si="0"/>
        <v>0</v>
      </c>
      <c r="I13" s="263">
        <f t="shared" si="0"/>
        <v>0</v>
      </c>
      <c r="J13" s="263">
        <f t="shared" si="0"/>
        <v>4619</v>
      </c>
      <c r="K13" s="263">
        <f t="shared" si="0"/>
        <v>4619</v>
      </c>
      <c r="L13" s="263">
        <f t="shared" si="0"/>
        <v>0</v>
      </c>
      <c r="M13" s="263">
        <f t="shared" si="0"/>
        <v>18354</v>
      </c>
      <c r="N13" s="263">
        <f t="shared" si="0"/>
        <v>16284</v>
      </c>
      <c r="O13" s="263">
        <f t="shared" si="0"/>
        <v>16284</v>
      </c>
      <c r="P13" s="263">
        <f t="shared" si="0"/>
        <v>0</v>
      </c>
      <c r="Q13" s="263">
        <f t="shared" si="0"/>
        <v>2070</v>
      </c>
      <c r="R13" s="263">
        <f t="shared" si="0"/>
        <v>2070</v>
      </c>
      <c r="S13" s="263">
        <f t="shared" si="0"/>
        <v>0</v>
      </c>
      <c r="T13" s="263">
        <f t="shared" si="0"/>
        <v>63292</v>
      </c>
      <c r="U13" s="263">
        <f t="shared" si="0"/>
        <v>48660</v>
      </c>
      <c r="V13" s="263">
        <f t="shared" si="0"/>
        <v>48660</v>
      </c>
      <c r="W13" s="263">
        <f t="shared" si="0"/>
        <v>0</v>
      </c>
      <c r="X13" s="263">
        <f t="shared" si="0"/>
        <v>14632</v>
      </c>
      <c r="Y13" s="263">
        <f t="shared" si="0"/>
        <v>14632</v>
      </c>
      <c r="Z13" s="263">
        <f t="shared" si="0"/>
        <v>0</v>
      </c>
      <c r="AA13" s="263">
        <f t="shared" si="0"/>
        <v>23950.479649000001</v>
      </c>
      <c r="AB13" s="263">
        <f t="shared" si="0"/>
        <v>20007.132067999999</v>
      </c>
      <c r="AC13" s="263">
        <f t="shared" si="0"/>
        <v>3943.347581</v>
      </c>
      <c r="AD13" s="263">
        <f t="shared" si="0"/>
        <v>1028.9078489999999</v>
      </c>
      <c r="AE13" s="263">
        <f t="shared" si="0"/>
        <v>0</v>
      </c>
      <c r="AF13" s="263">
        <f t="shared" si="0"/>
        <v>0</v>
      </c>
      <c r="AG13" s="263">
        <f t="shared" si="0"/>
        <v>0</v>
      </c>
      <c r="AH13" s="263">
        <f t="shared" si="0"/>
        <v>1028.9078489999999</v>
      </c>
      <c r="AI13" s="263">
        <f t="shared" si="0"/>
        <v>1028.9078489999999</v>
      </c>
      <c r="AJ13" s="263">
        <f t="shared" si="0"/>
        <v>0</v>
      </c>
      <c r="AK13" s="263">
        <f t="shared" si="0"/>
        <v>7097.166311</v>
      </c>
      <c r="AL13" s="263">
        <f t="shared" si="0"/>
        <v>6151.8021330000001</v>
      </c>
      <c r="AM13" s="263">
        <f t="shared" si="0"/>
        <v>6151.8021330000001</v>
      </c>
      <c r="AN13" s="263">
        <f t="shared" si="0"/>
        <v>0</v>
      </c>
      <c r="AO13" s="263">
        <f t="shared" si="0"/>
        <v>945.36417800000015</v>
      </c>
      <c r="AP13" s="263">
        <f t="shared" si="0"/>
        <v>945.36417800000015</v>
      </c>
      <c r="AQ13" s="263">
        <f t="shared" si="0"/>
        <v>0</v>
      </c>
      <c r="AR13" s="263">
        <f t="shared" si="0"/>
        <v>15824.405488999999</v>
      </c>
      <c r="AS13" s="263">
        <f t="shared" si="0"/>
        <v>13855.329935</v>
      </c>
      <c r="AT13" s="263">
        <f t="shared" si="0"/>
        <v>13855.329935</v>
      </c>
      <c r="AU13" s="263">
        <f t="shared" si="0"/>
        <v>0</v>
      </c>
      <c r="AV13" s="263">
        <f t="shared" si="0"/>
        <v>1969.075554</v>
      </c>
      <c r="AW13" s="263">
        <f t="shared" si="0"/>
        <v>1969.075554</v>
      </c>
      <c r="AX13" s="263">
        <f t="shared" si="0"/>
        <v>0</v>
      </c>
      <c r="AY13" s="264">
        <f>AA13/C13</f>
        <v>0.27763843562279023</v>
      </c>
      <c r="AZ13" s="264">
        <f t="shared" ref="AZ13" si="1">AB13/D13</f>
        <v>0.30806744376693768</v>
      </c>
      <c r="BA13" s="264">
        <f>AC13/E13</f>
        <v>0.18495134285446274</v>
      </c>
      <c r="BB13" s="264">
        <f>AD13/F13</f>
        <v>0.22275554210868151</v>
      </c>
      <c r="BC13" s="264"/>
      <c r="BD13" s="264"/>
      <c r="BE13" s="264"/>
      <c r="BF13" s="264">
        <f t="shared" ref="BF13" si="2">AH13/J13</f>
        <v>0.22275554210868151</v>
      </c>
      <c r="BG13" s="264">
        <f>AI13/K13</f>
        <v>0.22275554210868151</v>
      </c>
      <c r="BH13" s="264"/>
      <c r="BI13" s="264">
        <f>AK13/M13</f>
        <v>0.38668226604554867</v>
      </c>
      <c r="BJ13" s="264">
        <f t="shared" ref="BJ13:BN13" si="3">AL13/N13</f>
        <v>0.37778200276344881</v>
      </c>
      <c r="BK13" s="264">
        <f t="shared" si="3"/>
        <v>0.37778200276344881</v>
      </c>
      <c r="BL13" s="264"/>
      <c r="BM13" s="264">
        <f t="shared" si="3"/>
        <v>0.45669767053140103</v>
      </c>
      <c r="BN13" s="264">
        <f t="shared" si="3"/>
        <v>0.45669767053140103</v>
      </c>
      <c r="BO13" s="264"/>
      <c r="BP13" s="264">
        <f>AR13/T13</f>
        <v>0.25002220642419259</v>
      </c>
      <c r="BQ13" s="264">
        <f t="shared" ref="BQ13:BU13" si="4">AS13/U13</f>
        <v>0.28473756545417178</v>
      </c>
      <c r="BR13" s="264">
        <f t="shared" si="4"/>
        <v>0.28473756545417178</v>
      </c>
      <c r="BS13" s="264"/>
      <c r="BT13" s="264">
        <f t="shared" si="4"/>
        <v>0.13457323359759432</v>
      </c>
      <c r="BU13" s="264">
        <f t="shared" si="4"/>
        <v>0.13457323359759432</v>
      </c>
      <c r="BV13" s="265"/>
    </row>
    <row r="14" spans="1:74" s="162" customFormat="1" ht="21.95" customHeight="1">
      <c r="A14" s="266" t="s">
        <v>8</v>
      </c>
      <c r="B14" s="267" t="s">
        <v>54</v>
      </c>
      <c r="C14" s="268">
        <f t="shared" ref="C14:AX14" si="5">SUM(C15:C34)</f>
        <v>71582</v>
      </c>
      <c r="D14" s="268">
        <f t="shared" si="5"/>
        <v>64944</v>
      </c>
      <c r="E14" s="268">
        <f t="shared" si="5"/>
        <v>6638</v>
      </c>
      <c r="F14" s="268">
        <f t="shared" si="5"/>
        <v>2341</v>
      </c>
      <c r="G14" s="268">
        <f t="shared" si="5"/>
        <v>0</v>
      </c>
      <c r="H14" s="268">
        <f t="shared" si="5"/>
        <v>0</v>
      </c>
      <c r="I14" s="268">
        <f t="shared" si="5"/>
        <v>0</v>
      </c>
      <c r="J14" s="268">
        <f t="shared" si="5"/>
        <v>2341</v>
      </c>
      <c r="K14" s="268">
        <f t="shared" si="5"/>
        <v>2341</v>
      </c>
      <c r="L14" s="268">
        <f t="shared" si="5"/>
        <v>0</v>
      </c>
      <c r="M14" s="268">
        <f t="shared" si="5"/>
        <v>17334</v>
      </c>
      <c r="N14" s="268">
        <f t="shared" si="5"/>
        <v>16284</v>
      </c>
      <c r="O14" s="268">
        <f t="shared" si="5"/>
        <v>16284</v>
      </c>
      <c r="P14" s="268">
        <f t="shared" si="5"/>
        <v>0</v>
      </c>
      <c r="Q14" s="268">
        <f t="shared" si="5"/>
        <v>1050</v>
      </c>
      <c r="R14" s="268">
        <f t="shared" si="5"/>
        <v>1050</v>
      </c>
      <c r="S14" s="268">
        <f t="shared" si="5"/>
        <v>0</v>
      </c>
      <c r="T14" s="268">
        <f t="shared" si="5"/>
        <v>51907</v>
      </c>
      <c r="U14" s="268">
        <f t="shared" si="5"/>
        <v>48660</v>
      </c>
      <c r="V14" s="268">
        <f t="shared" si="5"/>
        <v>48660</v>
      </c>
      <c r="W14" s="268">
        <f t="shared" si="5"/>
        <v>0</v>
      </c>
      <c r="X14" s="268">
        <f t="shared" si="5"/>
        <v>3247</v>
      </c>
      <c r="Y14" s="268">
        <f t="shared" si="5"/>
        <v>3247</v>
      </c>
      <c r="Z14" s="268">
        <f t="shared" si="5"/>
        <v>0</v>
      </c>
      <c r="AA14" s="268">
        <f t="shared" si="5"/>
        <v>22065.182726999999</v>
      </c>
      <c r="AB14" s="268">
        <f t="shared" si="5"/>
        <v>20007.132067999999</v>
      </c>
      <c r="AC14" s="268">
        <f t="shared" si="5"/>
        <v>2058.050659</v>
      </c>
      <c r="AD14" s="268">
        <f t="shared" si="5"/>
        <v>906.2078489999999</v>
      </c>
      <c r="AE14" s="268">
        <f t="shared" si="5"/>
        <v>0</v>
      </c>
      <c r="AF14" s="268">
        <f t="shared" si="5"/>
        <v>0</v>
      </c>
      <c r="AG14" s="268">
        <f t="shared" si="5"/>
        <v>0</v>
      </c>
      <c r="AH14" s="268">
        <f t="shared" si="5"/>
        <v>906.2078489999999</v>
      </c>
      <c r="AI14" s="268">
        <f t="shared" si="5"/>
        <v>906.2078489999999</v>
      </c>
      <c r="AJ14" s="268">
        <f t="shared" si="5"/>
        <v>0</v>
      </c>
      <c r="AK14" s="268">
        <f t="shared" si="5"/>
        <v>6325.7439429999995</v>
      </c>
      <c r="AL14" s="268">
        <f t="shared" si="5"/>
        <v>6151.8021330000001</v>
      </c>
      <c r="AM14" s="268">
        <f t="shared" si="5"/>
        <v>6151.8021330000001</v>
      </c>
      <c r="AN14" s="268">
        <f t="shared" si="5"/>
        <v>0</v>
      </c>
      <c r="AO14" s="268">
        <f t="shared" si="5"/>
        <v>173.94181</v>
      </c>
      <c r="AP14" s="268">
        <f t="shared" si="5"/>
        <v>173.94181</v>
      </c>
      <c r="AQ14" s="268">
        <f t="shared" si="5"/>
        <v>0</v>
      </c>
      <c r="AR14" s="268">
        <f t="shared" si="5"/>
        <v>14833.230935</v>
      </c>
      <c r="AS14" s="268">
        <f t="shared" si="5"/>
        <v>13855.329935</v>
      </c>
      <c r="AT14" s="268">
        <f t="shared" si="5"/>
        <v>13855.329935</v>
      </c>
      <c r="AU14" s="268">
        <f t="shared" si="5"/>
        <v>0</v>
      </c>
      <c r="AV14" s="268">
        <f t="shared" si="5"/>
        <v>977.90100000000007</v>
      </c>
      <c r="AW14" s="268">
        <f t="shared" si="5"/>
        <v>977.90100000000007</v>
      </c>
      <c r="AX14" s="268">
        <f t="shared" si="5"/>
        <v>0</v>
      </c>
      <c r="AY14" s="269">
        <f t="shared" ref="AY14:AY15" si="6">AA14/C14</f>
        <v>0.30825043624095444</v>
      </c>
      <c r="AZ14" s="269">
        <f t="shared" ref="AZ14:AZ15" si="7">AB14/D14</f>
        <v>0.30806744376693768</v>
      </c>
      <c r="BA14" s="269">
        <f t="shared" ref="BA14:BA15" si="8">AC14/E14</f>
        <v>0.31004077417896958</v>
      </c>
      <c r="BB14" s="269">
        <f t="shared" ref="BB14" si="9">AD14/F14</f>
        <v>0.38710288295600165</v>
      </c>
      <c r="BC14" s="269"/>
      <c r="BD14" s="269"/>
      <c r="BE14" s="269"/>
      <c r="BF14" s="269">
        <f t="shared" ref="BF14" si="10">AH14/J14</f>
        <v>0.38710288295600165</v>
      </c>
      <c r="BG14" s="269">
        <f t="shared" ref="BG14" si="11">AI14/K14</f>
        <v>0.38710288295600165</v>
      </c>
      <c r="BH14" s="269"/>
      <c r="BI14" s="269">
        <f t="shared" ref="BI14" si="12">AK14/M14</f>
        <v>0.36493273006807425</v>
      </c>
      <c r="BJ14" s="269">
        <f t="shared" ref="BJ14" si="13">AL14/N14</f>
        <v>0.37778200276344881</v>
      </c>
      <c r="BK14" s="269">
        <f t="shared" ref="BK14" si="14">AM14/O14</f>
        <v>0.37778200276344881</v>
      </c>
      <c r="BL14" s="269"/>
      <c r="BM14" s="269">
        <f t="shared" ref="BM14:BM17" si="15">AO14/Q14</f>
        <v>0.16565886666666668</v>
      </c>
      <c r="BN14" s="269">
        <f t="shared" ref="BN14:BN17" si="16">AP14/R14</f>
        <v>0.16565886666666668</v>
      </c>
      <c r="BO14" s="269"/>
      <c r="BP14" s="269">
        <f t="shared" ref="BP14:BP16" si="17">AR14/T14</f>
        <v>0.2857655217022752</v>
      </c>
      <c r="BQ14" s="269">
        <f t="shared" ref="BQ14:BQ16" si="18">AS14/U14</f>
        <v>0.28473756545417178</v>
      </c>
      <c r="BR14" s="269">
        <f t="shared" ref="BR14:BR16" si="19">AT14/V14</f>
        <v>0.28473756545417178</v>
      </c>
      <c r="BS14" s="269"/>
      <c r="BT14" s="269">
        <f t="shared" ref="BT14:BT16" si="20">AV14/X14</f>
        <v>0.3011706190329535</v>
      </c>
      <c r="BU14" s="269">
        <f t="shared" ref="BU14:BU16" si="21">AW14/Y14</f>
        <v>0.3011706190329535</v>
      </c>
      <c r="BV14" s="270"/>
    </row>
    <row r="15" spans="1:74" ht="21.95" customHeight="1">
      <c r="A15" s="271" t="s">
        <v>10</v>
      </c>
      <c r="B15" s="272" t="s">
        <v>499</v>
      </c>
      <c r="C15" s="273">
        <f t="shared" ref="C15:C34" si="22">D15+E15</f>
        <v>28945</v>
      </c>
      <c r="D15" s="273">
        <f>G15+N15+U15</f>
        <v>28798</v>
      </c>
      <c r="E15" s="273">
        <f>J15+Q15+X15</f>
        <v>147</v>
      </c>
      <c r="F15" s="273">
        <f t="shared" ref="F15:F34" si="23">G15+J15</f>
        <v>0</v>
      </c>
      <c r="G15" s="273">
        <f t="shared" ref="G15:G34" si="24">H15+I15</f>
        <v>0</v>
      </c>
      <c r="H15" s="273"/>
      <c r="I15" s="273"/>
      <c r="J15" s="273">
        <f t="shared" ref="J15:J34" si="25">K15+L15</f>
        <v>0</v>
      </c>
      <c r="K15" s="273"/>
      <c r="L15" s="273"/>
      <c r="M15" s="273">
        <f>N15+Q15</f>
        <v>0</v>
      </c>
      <c r="N15" s="273">
        <f>O15+P15</f>
        <v>0</v>
      </c>
      <c r="O15" s="273"/>
      <c r="P15" s="273"/>
      <c r="Q15" s="273">
        <f>R15+S15</f>
        <v>0</v>
      </c>
      <c r="R15" s="273"/>
      <c r="S15" s="273"/>
      <c r="T15" s="273">
        <f>U15+X15</f>
        <v>28945</v>
      </c>
      <c r="U15" s="273">
        <f>V15+W15</f>
        <v>28798</v>
      </c>
      <c r="V15" s="273">
        <v>28798</v>
      </c>
      <c r="W15" s="273"/>
      <c r="X15" s="273">
        <f>Y15+Z15</f>
        <v>147</v>
      </c>
      <c r="Y15" s="273">
        <v>147</v>
      </c>
      <c r="Z15" s="273"/>
      <c r="AA15" s="273">
        <f t="shared" ref="AA15:AA16" si="26">AB15+AC15</f>
        <v>8898.4349829999992</v>
      </c>
      <c r="AB15" s="273">
        <f>AE15+AL15+AS15</f>
        <v>8898.4349829999992</v>
      </c>
      <c r="AC15" s="273">
        <f>AH15+AO15+AV15</f>
        <v>0</v>
      </c>
      <c r="AD15" s="273">
        <f t="shared" ref="AD15:AD34" si="27">AE15+AH15</f>
        <v>0</v>
      </c>
      <c r="AE15" s="273">
        <f t="shared" ref="AE15:AE34" si="28">AF15+AG15</f>
        <v>0</v>
      </c>
      <c r="AF15" s="273"/>
      <c r="AG15" s="273"/>
      <c r="AH15" s="273">
        <f t="shared" ref="AH15:AH34" si="29">AI15+AJ15</f>
        <v>0</v>
      </c>
      <c r="AI15" s="273"/>
      <c r="AJ15" s="273"/>
      <c r="AK15" s="273">
        <f t="shared" ref="AK15:AK34" si="30">AL15+AO15</f>
        <v>0</v>
      </c>
      <c r="AL15" s="273">
        <f t="shared" ref="AL15:AL34" si="31">AM15+AN15</f>
        <v>0</v>
      </c>
      <c r="AM15" s="273"/>
      <c r="AN15" s="273"/>
      <c r="AO15" s="273">
        <f t="shared" ref="AO15:AO34" si="32">AP15+AQ15</f>
        <v>0</v>
      </c>
      <c r="AP15" s="273"/>
      <c r="AQ15" s="273"/>
      <c r="AR15" s="273">
        <f t="shared" ref="AR15:AR34" si="33">AS15+AV15</f>
        <v>8898.4349829999992</v>
      </c>
      <c r="AS15" s="273">
        <f t="shared" ref="AS15:AS34" si="34">AT15+AU15</f>
        <v>8898.4349829999992</v>
      </c>
      <c r="AT15" s="273">
        <v>8898.4349829999992</v>
      </c>
      <c r="AU15" s="273"/>
      <c r="AV15" s="273">
        <f t="shared" ref="AV15:AV34" si="35">AW15+AX15</f>
        <v>0</v>
      </c>
      <c r="AW15" s="273"/>
      <c r="AX15" s="273"/>
      <c r="AY15" s="274">
        <f t="shared" si="6"/>
        <v>0.30742563423734665</v>
      </c>
      <c r="AZ15" s="274">
        <f t="shared" si="7"/>
        <v>0.30899489488853388</v>
      </c>
      <c r="BA15" s="274">
        <f t="shared" si="8"/>
        <v>0</v>
      </c>
      <c r="BB15" s="274"/>
      <c r="BC15" s="274"/>
      <c r="BD15" s="274"/>
      <c r="BE15" s="274"/>
      <c r="BF15" s="274"/>
      <c r="BG15" s="274"/>
      <c r="BH15" s="274"/>
      <c r="BI15" s="274"/>
      <c r="BJ15" s="274"/>
      <c r="BK15" s="274"/>
      <c r="BL15" s="274"/>
      <c r="BM15" s="274"/>
      <c r="BN15" s="274"/>
      <c r="BO15" s="274"/>
      <c r="BP15" s="274">
        <f t="shared" si="17"/>
        <v>0.30742563423734665</v>
      </c>
      <c r="BQ15" s="274">
        <f t="shared" si="18"/>
        <v>0.30899489488853388</v>
      </c>
      <c r="BR15" s="274">
        <f t="shared" si="19"/>
        <v>0.30899489488853388</v>
      </c>
      <c r="BS15" s="274"/>
      <c r="BT15" s="274">
        <f t="shared" si="20"/>
        <v>0</v>
      </c>
      <c r="BU15" s="274">
        <f t="shared" si="21"/>
        <v>0</v>
      </c>
      <c r="BV15" s="275"/>
    </row>
    <row r="16" spans="1:74" ht="21.95" customHeight="1">
      <c r="A16" s="271" t="s">
        <v>18</v>
      </c>
      <c r="B16" s="272" t="s">
        <v>84</v>
      </c>
      <c r="C16" s="273">
        <f t="shared" si="22"/>
        <v>6397</v>
      </c>
      <c r="D16" s="273">
        <f t="shared" ref="D16:D34" si="36">G16+N16+U16</f>
        <v>4745</v>
      </c>
      <c r="E16" s="273">
        <f t="shared" ref="E16:E34" si="37">J16+Q16+X16</f>
        <v>1652</v>
      </c>
      <c r="F16" s="273">
        <f t="shared" ref="F16:F33" si="38">G16+J16</f>
        <v>0</v>
      </c>
      <c r="G16" s="273">
        <f t="shared" ref="G16:G33" si="39">H16+I16</f>
        <v>0</v>
      </c>
      <c r="H16" s="273"/>
      <c r="I16" s="273"/>
      <c r="J16" s="273">
        <f t="shared" ref="J16:J33" si="40">K16+L16</f>
        <v>0</v>
      </c>
      <c r="K16" s="273"/>
      <c r="L16" s="273"/>
      <c r="M16" s="273">
        <f t="shared" ref="M16:M33" si="41">N16+Q16</f>
        <v>0</v>
      </c>
      <c r="N16" s="273">
        <f t="shared" ref="N16:N33" si="42">O16+P16</f>
        <v>0</v>
      </c>
      <c r="O16" s="273"/>
      <c r="P16" s="273"/>
      <c r="Q16" s="273">
        <f t="shared" ref="Q16:Q33" si="43">R16+S16</f>
        <v>0</v>
      </c>
      <c r="R16" s="273"/>
      <c r="S16" s="273"/>
      <c r="T16" s="273">
        <f t="shared" ref="T16:T33" si="44">U16+X16</f>
        <v>6397</v>
      </c>
      <c r="U16" s="273">
        <f t="shared" ref="U16:U33" si="45">V16+W16</f>
        <v>4745</v>
      </c>
      <c r="V16" s="273">
        <v>4745</v>
      </c>
      <c r="W16" s="273"/>
      <c r="X16" s="273">
        <f t="shared" ref="X16:X33" si="46">Y16+Z16</f>
        <v>1652</v>
      </c>
      <c r="Y16" s="273">
        <v>1652</v>
      </c>
      <c r="Z16" s="273"/>
      <c r="AA16" s="273">
        <f t="shared" si="26"/>
        <v>691.19800000000009</v>
      </c>
      <c r="AB16" s="273">
        <f t="shared" ref="AB16:AB47" si="47">AE16+AL16+AS16</f>
        <v>345.09800000000001</v>
      </c>
      <c r="AC16" s="273">
        <f t="shared" ref="AC16:AC47" si="48">AH16+AO16+AV16</f>
        <v>346.1</v>
      </c>
      <c r="AD16" s="273">
        <f t="shared" ref="AD16:AD33" si="49">AE16+AH16</f>
        <v>0</v>
      </c>
      <c r="AE16" s="273">
        <f t="shared" ref="AE16:AE33" si="50">AF16+AG16</f>
        <v>0</v>
      </c>
      <c r="AF16" s="273"/>
      <c r="AG16" s="273"/>
      <c r="AH16" s="273">
        <f t="shared" ref="AH16:AH33" si="51">AI16+AJ16</f>
        <v>0</v>
      </c>
      <c r="AI16" s="273"/>
      <c r="AJ16" s="273"/>
      <c r="AK16" s="273">
        <f t="shared" ref="AK16:AK33" si="52">AL16+AO16</f>
        <v>0</v>
      </c>
      <c r="AL16" s="273">
        <f t="shared" ref="AL16:AL33" si="53">AM16+AN16</f>
        <v>0</v>
      </c>
      <c r="AM16" s="273"/>
      <c r="AN16" s="273"/>
      <c r="AO16" s="273">
        <f t="shared" ref="AO16:AO33" si="54">AP16+AQ16</f>
        <v>0</v>
      </c>
      <c r="AP16" s="273"/>
      <c r="AQ16" s="273"/>
      <c r="AR16" s="273">
        <f t="shared" si="33"/>
        <v>691.19800000000009</v>
      </c>
      <c r="AS16" s="273">
        <f t="shared" si="34"/>
        <v>345.09800000000001</v>
      </c>
      <c r="AT16" s="273">
        <v>345.09800000000001</v>
      </c>
      <c r="AU16" s="273"/>
      <c r="AV16" s="273">
        <f t="shared" si="35"/>
        <v>346.1</v>
      </c>
      <c r="AW16" s="273">
        <v>346.1</v>
      </c>
      <c r="AX16" s="273"/>
      <c r="AY16" s="274">
        <f t="shared" ref="AY16:AY47" si="55">AA16/C16</f>
        <v>0.10805033609504457</v>
      </c>
      <c r="AZ16" s="274">
        <f t="shared" ref="AZ16:AZ34" si="56">AB16/D16</f>
        <v>7.2728767123287671E-2</v>
      </c>
      <c r="BA16" s="274">
        <f t="shared" ref="BA16:BA47" si="57">AC16/E16</f>
        <v>0.2095036319612591</v>
      </c>
      <c r="BB16" s="274"/>
      <c r="BC16" s="274"/>
      <c r="BD16" s="274"/>
      <c r="BE16" s="274"/>
      <c r="BF16" s="274"/>
      <c r="BG16" s="274"/>
      <c r="BH16" s="274"/>
      <c r="BI16" s="274"/>
      <c r="BJ16" s="274"/>
      <c r="BK16" s="274"/>
      <c r="BL16" s="274"/>
      <c r="BM16" s="274"/>
      <c r="BN16" s="274"/>
      <c r="BO16" s="274"/>
      <c r="BP16" s="274">
        <f t="shared" si="17"/>
        <v>0.10805033609504457</v>
      </c>
      <c r="BQ16" s="274">
        <f t="shared" si="18"/>
        <v>7.2728767123287671E-2</v>
      </c>
      <c r="BR16" s="274">
        <f t="shared" si="19"/>
        <v>7.2728767123287671E-2</v>
      </c>
      <c r="BS16" s="274"/>
      <c r="BT16" s="274">
        <f t="shared" si="20"/>
        <v>0.2095036319612591</v>
      </c>
      <c r="BU16" s="274">
        <f t="shared" si="21"/>
        <v>0.2095036319612591</v>
      </c>
      <c r="BV16" s="275"/>
    </row>
    <row r="17" spans="1:74" ht="36" customHeight="1">
      <c r="A17" s="271" t="s">
        <v>27</v>
      </c>
      <c r="B17" s="272" t="s">
        <v>73</v>
      </c>
      <c r="C17" s="273">
        <f t="shared" ref="C17:C18" si="58">D17+E17</f>
        <v>1896</v>
      </c>
      <c r="D17" s="273">
        <f t="shared" si="36"/>
        <v>0</v>
      </c>
      <c r="E17" s="273">
        <f t="shared" si="37"/>
        <v>1896</v>
      </c>
      <c r="F17" s="273">
        <f t="shared" si="38"/>
        <v>776</v>
      </c>
      <c r="G17" s="273">
        <f t="shared" si="39"/>
        <v>0</v>
      </c>
      <c r="H17" s="273"/>
      <c r="I17" s="273"/>
      <c r="J17" s="273">
        <f t="shared" si="40"/>
        <v>776</v>
      </c>
      <c r="K17" s="273">
        <v>776</v>
      </c>
      <c r="L17" s="273"/>
      <c r="M17" s="273">
        <f t="shared" si="41"/>
        <v>1050</v>
      </c>
      <c r="N17" s="273">
        <f t="shared" si="42"/>
        <v>0</v>
      </c>
      <c r="O17" s="273"/>
      <c r="P17" s="273"/>
      <c r="Q17" s="273">
        <f t="shared" si="43"/>
        <v>1050</v>
      </c>
      <c r="R17" s="273">
        <v>1050</v>
      </c>
      <c r="S17" s="273"/>
      <c r="T17" s="273">
        <f t="shared" si="44"/>
        <v>70</v>
      </c>
      <c r="U17" s="273">
        <f t="shared" si="45"/>
        <v>0</v>
      </c>
      <c r="V17" s="273"/>
      <c r="W17" s="273"/>
      <c r="X17" s="273">
        <f t="shared" si="46"/>
        <v>70</v>
      </c>
      <c r="Y17" s="273">
        <v>70</v>
      </c>
      <c r="Z17" s="273"/>
      <c r="AA17" s="273">
        <f t="shared" ref="AA17:AA18" si="59">AB17+AC17</f>
        <v>255.87181000000001</v>
      </c>
      <c r="AB17" s="273">
        <f t="shared" si="47"/>
        <v>0</v>
      </c>
      <c r="AC17" s="273">
        <f t="shared" si="48"/>
        <v>255.87181000000001</v>
      </c>
      <c r="AD17" s="273">
        <f t="shared" si="49"/>
        <v>40.68</v>
      </c>
      <c r="AE17" s="273">
        <f t="shared" si="50"/>
        <v>0</v>
      </c>
      <c r="AF17" s="273"/>
      <c r="AG17" s="273"/>
      <c r="AH17" s="273">
        <f t="shared" si="51"/>
        <v>40.68</v>
      </c>
      <c r="AI17" s="273">
        <v>40.68</v>
      </c>
      <c r="AJ17" s="273"/>
      <c r="AK17" s="273">
        <f t="shared" si="52"/>
        <v>173.94181</v>
      </c>
      <c r="AL17" s="273">
        <f t="shared" si="53"/>
        <v>0</v>
      </c>
      <c r="AM17" s="273"/>
      <c r="AN17" s="273"/>
      <c r="AO17" s="273">
        <f t="shared" si="54"/>
        <v>173.94181</v>
      </c>
      <c r="AP17" s="273">
        <v>173.94181</v>
      </c>
      <c r="AQ17" s="273"/>
      <c r="AR17" s="273">
        <f t="shared" si="33"/>
        <v>41.25</v>
      </c>
      <c r="AS17" s="273">
        <f t="shared" si="34"/>
        <v>0</v>
      </c>
      <c r="AT17" s="273"/>
      <c r="AU17" s="273"/>
      <c r="AV17" s="273">
        <f t="shared" si="35"/>
        <v>41.25</v>
      </c>
      <c r="AW17" s="273">
        <v>41.25</v>
      </c>
      <c r="AX17" s="273"/>
      <c r="AY17" s="274">
        <f t="shared" si="55"/>
        <v>0.13495348628691983</v>
      </c>
      <c r="AZ17" s="274"/>
      <c r="BA17" s="274">
        <f t="shared" si="57"/>
        <v>0.13495348628691983</v>
      </c>
      <c r="BB17" s="274">
        <f t="shared" ref="BB17:BB47" si="60">AD17/F17</f>
        <v>5.2422680412371137E-2</v>
      </c>
      <c r="BC17" s="274"/>
      <c r="BD17" s="274"/>
      <c r="BE17" s="274"/>
      <c r="BF17" s="274">
        <f t="shared" ref="BF17:BF47" si="61">AH17/J17</f>
        <v>5.2422680412371137E-2</v>
      </c>
      <c r="BG17" s="274">
        <f t="shared" ref="BG17:BG47" si="62">AI17/K17</f>
        <v>5.2422680412371137E-2</v>
      </c>
      <c r="BH17" s="274"/>
      <c r="BI17" s="274">
        <f t="shared" ref="BI17:BI47" si="63">AK17/M17</f>
        <v>0.16565886666666668</v>
      </c>
      <c r="BJ17" s="274"/>
      <c r="BK17" s="274"/>
      <c r="BL17" s="274"/>
      <c r="BM17" s="274">
        <f t="shared" si="15"/>
        <v>0.16565886666666668</v>
      </c>
      <c r="BN17" s="274">
        <f t="shared" si="16"/>
        <v>0.16565886666666668</v>
      </c>
      <c r="BO17" s="274"/>
      <c r="BP17" s="274">
        <f t="shared" ref="BP17:BP47" si="64">AR17/T17</f>
        <v>0.5892857142857143</v>
      </c>
      <c r="BQ17" s="274"/>
      <c r="BR17" s="274"/>
      <c r="BS17" s="274"/>
      <c r="BT17" s="274">
        <f t="shared" ref="BT17:BT47" si="65">AV17/X17</f>
        <v>0.5892857142857143</v>
      </c>
      <c r="BU17" s="274">
        <f t="shared" ref="BU17:BU47" si="66">AW17/Y17</f>
        <v>0.5892857142857143</v>
      </c>
      <c r="BV17" s="275"/>
    </row>
    <row r="18" spans="1:74" ht="36" customHeight="1">
      <c r="A18" s="271" t="s">
        <v>28</v>
      </c>
      <c r="B18" s="272" t="s">
        <v>79</v>
      </c>
      <c r="C18" s="273">
        <f t="shared" si="58"/>
        <v>874</v>
      </c>
      <c r="D18" s="273">
        <f t="shared" si="36"/>
        <v>0</v>
      </c>
      <c r="E18" s="273">
        <f t="shared" si="37"/>
        <v>874</v>
      </c>
      <c r="F18" s="273">
        <f t="shared" si="38"/>
        <v>684</v>
      </c>
      <c r="G18" s="273">
        <f t="shared" si="39"/>
        <v>0</v>
      </c>
      <c r="H18" s="273"/>
      <c r="I18" s="273"/>
      <c r="J18" s="273">
        <f t="shared" si="40"/>
        <v>684</v>
      </c>
      <c r="K18" s="273">
        <v>684</v>
      </c>
      <c r="L18" s="273"/>
      <c r="M18" s="273">
        <f t="shared" si="41"/>
        <v>0</v>
      </c>
      <c r="N18" s="273">
        <f t="shared" si="42"/>
        <v>0</v>
      </c>
      <c r="O18" s="273"/>
      <c r="P18" s="273"/>
      <c r="Q18" s="273">
        <f t="shared" si="43"/>
        <v>0</v>
      </c>
      <c r="R18" s="273"/>
      <c r="S18" s="273"/>
      <c r="T18" s="273">
        <f t="shared" si="44"/>
        <v>190</v>
      </c>
      <c r="U18" s="273">
        <f t="shared" si="45"/>
        <v>0</v>
      </c>
      <c r="V18" s="273"/>
      <c r="W18" s="273"/>
      <c r="X18" s="273">
        <f t="shared" si="46"/>
        <v>190</v>
      </c>
      <c r="Y18" s="273">
        <v>190</v>
      </c>
      <c r="Z18" s="273"/>
      <c r="AA18" s="273">
        <f t="shared" si="59"/>
        <v>648.71504900000002</v>
      </c>
      <c r="AB18" s="273">
        <f t="shared" si="47"/>
        <v>0</v>
      </c>
      <c r="AC18" s="273">
        <f t="shared" si="48"/>
        <v>648.71504900000002</v>
      </c>
      <c r="AD18" s="273">
        <f>AE18+AH18</f>
        <v>492.235049</v>
      </c>
      <c r="AE18" s="273">
        <f t="shared" si="50"/>
        <v>0</v>
      </c>
      <c r="AF18" s="273"/>
      <c r="AG18" s="273"/>
      <c r="AH18" s="273">
        <f t="shared" si="51"/>
        <v>492.235049</v>
      </c>
      <c r="AI18" s="273">
        <v>492.235049</v>
      </c>
      <c r="AJ18" s="273"/>
      <c r="AK18" s="273">
        <f t="shared" si="52"/>
        <v>0</v>
      </c>
      <c r="AL18" s="273">
        <f t="shared" si="53"/>
        <v>0</v>
      </c>
      <c r="AM18" s="273"/>
      <c r="AN18" s="273"/>
      <c r="AO18" s="273">
        <f t="shared" si="54"/>
        <v>0</v>
      </c>
      <c r="AP18" s="273"/>
      <c r="AQ18" s="273"/>
      <c r="AR18" s="273">
        <f t="shared" si="33"/>
        <v>156.47999999999999</v>
      </c>
      <c r="AS18" s="273">
        <f t="shared" si="34"/>
        <v>0</v>
      </c>
      <c r="AT18" s="273"/>
      <c r="AU18" s="273"/>
      <c r="AV18" s="273">
        <f t="shared" si="35"/>
        <v>156.47999999999999</v>
      </c>
      <c r="AW18" s="273">
        <v>156.47999999999999</v>
      </c>
      <c r="AX18" s="273"/>
      <c r="AY18" s="274">
        <f>AA18/C18</f>
        <v>0.74223689816933636</v>
      </c>
      <c r="AZ18" s="274"/>
      <c r="BA18" s="274">
        <f t="shared" si="57"/>
        <v>0.74223689816933636</v>
      </c>
      <c r="BB18" s="274">
        <f t="shared" si="60"/>
        <v>0.71964188450292399</v>
      </c>
      <c r="BC18" s="274"/>
      <c r="BD18" s="274"/>
      <c r="BE18" s="274"/>
      <c r="BF18" s="274">
        <f t="shared" si="61"/>
        <v>0.71964188450292399</v>
      </c>
      <c r="BG18" s="274">
        <f t="shared" si="62"/>
        <v>0.71964188450292399</v>
      </c>
      <c r="BH18" s="274"/>
      <c r="BI18" s="274"/>
      <c r="BJ18" s="274"/>
      <c r="BK18" s="274"/>
      <c r="BL18" s="274"/>
      <c r="BM18" s="274"/>
      <c r="BN18" s="274"/>
      <c r="BO18" s="274"/>
      <c r="BP18" s="274">
        <f t="shared" si="64"/>
        <v>0.82357894736842097</v>
      </c>
      <c r="BQ18" s="274"/>
      <c r="BR18" s="274"/>
      <c r="BS18" s="274"/>
      <c r="BT18" s="274">
        <f t="shared" si="65"/>
        <v>0.82357894736842097</v>
      </c>
      <c r="BU18" s="274">
        <f t="shared" si="66"/>
        <v>0.82357894736842097</v>
      </c>
      <c r="BV18" s="275"/>
    </row>
    <row r="19" spans="1:74" ht="21.95" customHeight="1">
      <c r="A19" s="271" t="s">
        <v>29</v>
      </c>
      <c r="B19" s="272" t="s">
        <v>77</v>
      </c>
      <c r="C19" s="273">
        <f t="shared" ref="C19" si="67">D19+E19</f>
        <v>106</v>
      </c>
      <c r="D19" s="273">
        <f t="shared" ref="D19" si="68">G19+N19+U19</f>
        <v>0</v>
      </c>
      <c r="E19" s="273">
        <f t="shared" ref="E19" si="69">J19+Q19+X19</f>
        <v>106</v>
      </c>
      <c r="F19" s="273"/>
      <c r="G19" s="273"/>
      <c r="H19" s="273"/>
      <c r="I19" s="273"/>
      <c r="J19" s="273"/>
      <c r="K19" s="273"/>
      <c r="L19" s="273"/>
      <c r="M19" s="273"/>
      <c r="N19" s="273"/>
      <c r="O19" s="273"/>
      <c r="P19" s="273"/>
      <c r="Q19" s="273"/>
      <c r="R19" s="273"/>
      <c r="S19" s="273"/>
      <c r="T19" s="273">
        <f t="shared" si="44"/>
        <v>106</v>
      </c>
      <c r="U19" s="273"/>
      <c r="V19" s="273"/>
      <c r="W19" s="273"/>
      <c r="X19" s="273">
        <f t="shared" si="46"/>
        <v>106</v>
      </c>
      <c r="Y19" s="273">
        <v>106</v>
      </c>
      <c r="Z19" s="273"/>
      <c r="AA19" s="273">
        <f t="shared" ref="AA19:AA20" si="70">AB19+AC19</f>
        <v>0</v>
      </c>
      <c r="AB19" s="273">
        <f t="shared" si="47"/>
        <v>0</v>
      </c>
      <c r="AC19" s="273">
        <f t="shared" si="48"/>
        <v>0</v>
      </c>
      <c r="AD19" s="273"/>
      <c r="AE19" s="273"/>
      <c r="AF19" s="273"/>
      <c r="AG19" s="273"/>
      <c r="AH19" s="273"/>
      <c r="AI19" s="273"/>
      <c r="AJ19" s="273"/>
      <c r="AK19" s="273"/>
      <c r="AL19" s="273"/>
      <c r="AM19" s="273"/>
      <c r="AN19" s="273"/>
      <c r="AO19" s="273"/>
      <c r="AP19" s="273"/>
      <c r="AQ19" s="273"/>
      <c r="AR19" s="273">
        <f t="shared" si="33"/>
        <v>0</v>
      </c>
      <c r="AS19" s="273"/>
      <c r="AT19" s="273"/>
      <c r="AU19" s="273"/>
      <c r="AV19" s="273">
        <f t="shared" si="35"/>
        <v>0</v>
      </c>
      <c r="AW19" s="273"/>
      <c r="AX19" s="273"/>
      <c r="AY19" s="274">
        <f>AA19/C19</f>
        <v>0</v>
      </c>
      <c r="AZ19" s="274"/>
      <c r="BA19" s="274">
        <f t="shared" si="57"/>
        <v>0</v>
      </c>
      <c r="BB19" s="274"/>
      <c r="BC19" s="274"/>
      <c r="BD19" s="274"/>
      <c r="BE19" s="274"/>
      <c r="BF19" s="274"/>
      <c r="BG19" s="274"/>
      <c r="BH19" s="274"/>
      <c r="BI19" s="274"/>
      <c r="BJ19" s="274"/>
      <c r="BK19" s="274"/>
      <c r="BL19" s="274"/>
      <c r="BM19" s="274"/>
      <c r="BN19" s="274"/>
      <c r="BO19" s="274"/>
      <c r="BP19" s="274">
        <f t="shared" si="64"/>
        <v>0</v>
      </c>
      <c r="BQ19" s="274"/>
      <c r="BR19" s="274"/>
      <c r="BS19" s="274"/>
      <c r="BT19" s="274">
        <f t="shared" si="65"/>
        <v>0</v>
      </c>
      <c r="BU19" s="274">
        <f t="shared" si="66"/>
        <v>0</v>
      </c>
      <c r="BV19" s="275"/>
    </row>
    <row r="20" spans="1:74" ht="21.95" customHeight="1">
      <c r="A20" s="271" t="s">
        <v>30</v>
      </c>
      <c r="B20" s="272" t="s">
        <v>513</v>
      </c>
      <c r="C20" s="273">
        <f t="shared" ref="C20" si="71">D20+E20</f>
        <v>444</v>
      </c>
      <c r="D20" s="273">
        <f t="shared" ref="D20" si="72">G20+N20+U20</f>
        <v>0</v>
      </c>
      <c r="E20" s="273">
        <f t="shared" ref="E20" si="73">J20+Q20+X20</f>
        <v>444</v>
      </c>
      <c r="F20" s="273"/>
      <c r="G20" s="273"/>
      <c r="H20" s="273"/>
      <c r="I20" s="273"/>
      <c r="J20" s="273"/>
      <c r="K20" s="273"/>
      <c r="L20" s="273"/>
      <c r="M20" s="273"/>
      <c r="N20" s="273"/>
      <c r="O20" s="273"/>
      <c r="P20" s="273"/>
      <c r="Q20" s="273"/>
      <c r="R20" s="273"/>
      <c r="S20" s="273"/>
      <c r="T20" s="273">
        <f t="shared" si="44"/>
        <v>444</v>
      </c>
      <c r="U20" s="273"/>
      <c r="V20" s="273"/>
      <c r="W20" s="273"/>
      <c r="X20" s="273">
        <f t="shared" si="46"/>
        <v>444</v>
      </c>
      <c r="Y20" s="273">
        <v>444</v>
      </c>
      <c r="Z20" s="273"/>
      <c r="AA20" s="273">
        <f t="shared" si="70"/>
        <v>61.338000000000001</v>
      </c>
      <c r="AB20" s="273">
        <f t="shared" si="47"/>
        <v>0</v>
      </c>
      <c r="AC20" s="273">
        <f t="shared" si="48"/>
        <v>61.338000000000001</v>
      </c>
      <c r="AD20" s="273"/>
      <c r="AE20" s="273"/>
      <c r="AF20" s="273"/>
      <c r="AG20" s="273"/>
      <c r="AH20" s="273"/>
      <c r="AI20" s="273"/>
      <c r="AJ20" s="273"/>
      <c r="AK20" s="273"/>
      <c r="AL20" s="273"/>
      <c r="AM20" s="273"/>
      <c r="AN20" s="273"/>
      <c r="AO20" s="273"/>
      <c r="AP20" s="273"/>
      <c r="AQ20" s="273"/>
      <c r="AR20" s="273">
        <f t="shared" si="33"/>
        <v>61.338000000000001</v>
      </c>
      <c r="AS20" s="273"/>
      <c r="AT20" s="273"/>
      <c r="AU20" s="273"/>
      <c r="AV20" s="273">
        <f t="shared" si="35"/>
        <v>61.338000000000001</v>
      </c>
      <c r="AW20" s="273">
        <v>61.338000000000001</v>
      </c>
      <c r="AX20" s="273"/>
      <c r="AY20" s="274">
        <f t="shared" si="55"/>
        <v>0.13814864864864865</v>
      </c>
      <c r="AZ20" s="274"/>
      <c r="BA20" s="274">
        <f t="shared" si="57"/>
        <v>0.13814864864864865</v>
      </c>
      <c r="BB20" s="274"/>
      <c r="BC20" s="274"/>
      <c r="BD20" s="274"/>
      <c r="BE20" s="274"/>
      <c r="BF20" s="274"/>
      <c r="BG20" s="274"/>
      <c r="BH20" s="274"/>
      <c r="BI20" s="274"/>
      <c r="BJ20" s="274"/>
      <c r="BK20" s="274"/>
      <c r="BL20" s="274"/>
      <c r="BM20" s="274"/>
      <c r="BN20" s="274"/>
      <c r="BO20" s="274"/>
      <c r="BP20" s="274">
        <f t="shared" si="64"/>
        <v>0.13814864864864865</v>
      </c>
      <c r="BQ20" s="274"/>
      <c r="BR20" s="274"/>
      <c r="BS20" s="274"/>
      <c r="BT20" s="274">
        <f t="shared" si="65"/>
        <v>0.13814864864864865</v>
      </c>
      <c r="BU20" s="274">
        <f t="shared" si="66"/>
        <v>0.13814864864864865</v>
      </c>
      <c r="BV20" s="275"/>
    </row>
    <row r="21" spans="1:74" ht="36" customHeight="1">
      <c r="A21" s="271" t="s">
        <v>31</v>
      </c>
      <c r="B21" s="272" t="s">
        <v>512</v>
      </c>
      <c r="C21" s="273">
        <f t="shared" ref="C21" si="74">D21+E21</f>
        <v>1450</v>
      </c>
      <c r="D21" s="273">
        <f t="shared" ref="D21" si="75">G21+N21+U21</f>
        <v>0</v>
      </c>
      <c r="E21" s="273">
        <f t="shared" ref="E21" si="76">J21+Q21+X21</f>
        <v>1450</v>
      </c>
      <c r="F21" s="273">
        <f t="shared" ref="F21" si="77">G21+J21</f>
        <v>850</v>
      </c>
      <c r="G21" s="273">
        <f t="shared" ref="G21" si="78">H21+I21</f>
        <v>0</v>
      </c>
      <c r="H21" s="273"/>
      <c r="I21" s="273"/>
      <c r="J21" s="273">
        <f t="shared" ref="J21" si="79">K21+L21</f>
        <v>850</v>
      </c>
      <c r="K21" s="273">
        <v>850</v>
      </c>
      <c r="L21" s="273"/>
      <c r="M21" s="273">
        <f t="shared" ref="M21" si="80">N21+Q21</f>
        <v>0</v>
      </c>
      <c r="N21" s="273">
        <f t="shared" ref="N21" si="81">O21+P21</f>
        <v>0</v>
      </c>
      <c r="O21" s="273"/>
      <c r="P21" s="273"/>
      <c r="Q21" s="273">
        <f t="shared" ref="Q21" si="82">R21+S21</f>
        <v>0</v>
      </c>
      <c r="R21" s="273"/>
      <c r="S21" s="273"/>
      <c r="T21" s="273">
        <f t="shared" ref="T21" si="83">U21+X21</f>
        <v>600</v>
      </c>
      <c r="U21" s="273">
        <f t="shared" ref="U21" si="84">V21+W21</f>
        <v>0</v>
      </c>
      <c r="V21" s="273"/>
      <c r="W21" s="273"/>
      <c r="X21" s="273">
        <f t="shared" ref="X21" si="85">Y21+Z21</f>
        <v>600</v>
      </c>
      <c r="Y21" s="273">
        <v>600</v>
      </c>
      <c r="Z21" s="273"/>
      <c r="AA21" s="273">
        <f t="shared" ref="AA21" si="86">AB21+AC21</f>
        <v>715.0258</v>
      </c>
      <c r="AB21" s="273">
        <f t="shared" si="47"/>
        <v>0</v>
      </c>
      <c r="AC21" s="273">
        <f t="shared" si="48"/>
        <v>715.0258</v>
      </c>
      <c r="AD21" s="273">
        <f t="shared" ref="AD21" si="87">AE21+AH21</f>
        <v>342.2928</v>
      </c>
      <c r="AE21" s="273">
        <f t="shared" ref="AE21" si="88">AF21+AG21</f>
        <v>0</v>
      </c>
      <c r="AF21" s="273"/>
      <c r="AG21" s="273"/>
      <c r="AH21" s="273">
        <f t="shared" ref="AH21" si="89">AI21+AJ21</f>
        <v>342.2928</v>
      </c>
      <c r="AI21" s="273">
        <v>342.2928</v>
      </c>
      <c r="AJ21" s="273"/>
      <c r="AK21" s="273">
        <f t="shared" ref="AK21" si="90">AL21+AO21</f>
        <v>0</v>
      </c>
      <c r="AL21" s="273">
        <f t="shared" ref="AL21" si="91">AM21+AN21</f>
        <v>0</v>
      </c>
      <c r="AM21" s="273"/>
      <c r="AN21" s="273"/>
      <c r="AO21" s="273">
        <f t="shared" ref="AO21" si="92">AP21+AQ21</f>
        <v>0</v>
      </c>
      <c r="AP21" s="273"/>
      <c r="AQ21" s="273"/>
      <c r="AR21" s="273">
        <f t="shared" ref="AR21" si="93">AS21+AV21</f>
        <v>372.733</v>
      </c>
      <c r="AS21" s="273">
        <f t="shared" ref="AS21" si="94">AT21+AU21</f>
        <v>0</v>
      </c>
      <c r="AT21" s="273"/>
      <c r="AU21" s="273"/>
      <c r="AV21" s="273">
        <f t="shared" ref="AV21" si="95">AW21+AX21</f>
        <v>372.733</v>
      </c>
      <c r="AW21" s="273">
        <v>372.733</v>
      </c>
      <c r="AX21" s="273"/>
      <c r="AY21" s="274">
        <f t="shared" si="55"/>
        <v>0.49312124137931035</v>
      </c>
      <c r="AZ21" s="274"/>
      <c r="BA21" s="274">
        <f t="shared" si="57"/>
        <v>0.49312124137931035</v>
      </c>
      <c r="BB21" s="274">
        <f t="shared" si="60"/>
        <v>0.40269741176470586</v>
      </c>
      <c r="BC21" s="274"/>
      <c r="BD21" s="274"/>
      <c r="BE21" s="274"/>
      <c r="BF21" s="274">
        <f t="shared" si="61"/>
        <v>0.40269741176470586</v>
      </c>
      <c r="BG21" s="274">
        <f t="shared" si="62"/>
        <v>0.40269741176470586</v>
      </c>
      <c r="BH21" s="274"/>
      <c r="BI21" s="274"/>
      <c r="BJ21" s="274"/>
      <c r="BK21" s="274"/>
      <c r="BL21" s="274"/>
      <c r="BM21" s="274"/>
      <c r="BN21" s="274"/>
      <c r="BO21" s="274"/>
      <c r="BP21" s="274">
        <f t="shared" si="64"/>
        <v>0.62122166666666667</v>
      </c>
      <c r="BQ21" s="274"/>
      <c r="BR21" s="274"/>
      <c r="BS21" s="274"/>
      <c r="BT21" s="274">
        <f t="shared" si="65"/>
        <v>0.62122166666666667</v>
      </c>
      <c r="BU21" s="274">
        <f t="shared" si="66"/>
        <v>0.62122166666666667</v>
      </c>
      <c r="BV21" s="275"/>
    </row>
    <row r="22" spans="1:74" ht="21.95" customHeight="1">
      <c r="A22" s="271" t="s">
        <v>32</v>
      </c>
      <c r="B22" s="272" t="s">
        <v>538</v>
      </c>
      <c r="C22" s="273">
        <f t="shared" ref="C22" si="96">D22+E22</f>
        <v>698</v>
      </c>
      <c r="D22" s="273">
        <f t="shared" ref="D22" si="97">G22+N22+U22</f>
        <v>629</v>
      </c>
      <c r="E22" s="273">
        <f t="shared" ref="E22" si="98">J22+Q22+X22</f>
        <v>69</v>
      </c>
      <c r="F22" s="273">
        <f t="shared" ref="F22" si="99">G22+J22</f>
        <v>31</v>
      </c>
      <c r="G22" s="273">
        <f t="shared" ref="G22" si="100">H22+I22</f>
        <v>0</v>
      </c>
      <c r="H22" s="273"/>
      <c r="I22" s="273"/>
      <c r="J22" s="273">
        <f t="shared" ref="J22" si="101">K22+L22</f>
        <v>31</v>
      </c>
      <c r="K22" s="273">
        <v>31</v>
      </c>
      <c r="L22" s="273"/>
      <c r="M22" s="273">
        <f t="shared" ref="M22" si="102">N22+Q22</f>
        <v>0</v>
      </c>
      <c r="N22" s="273">
        <f t="shared" ref="N22" si="103">O22+P22</f>
        <v>0</v>
      </c>
      <c r="O22" s="273"/>
      <c r="P22" s="273"/>
      <c r="Q22" s="273">
        <f t="shared" ref="Q22" si="104">R22+S22</f>
        <v>0</v>
      </c>
      <c r="R22" s="273"/>
      <c r="S22" s="273"/>
      <c r="T22" s="273">
        <f t="shared" ref="T22" si="105">U22+X22</f>
        <v>667</v>
      </c>
      <c r="U22" s="273">
        <f t="shared" ref="U22" si="106">V22+W22</f>
        <v>629</v>
      </c>
      <c r="V22" s="273">
        <v>629</v>
      </c>
      <c r="W22" s="273"/>
      <c r="X22" s="273">
        <f t="shared" ref="X22" si="107">Y22+Z22</f>
        <v>38</v>
      </c>
      <c r="Y22" s="273">
        <v>38</v>
      </c>
      <c r="Z22" s="273"/>
      <c r="AA22" s="273">
        <f t="shared" ref="AA22:AA23" si="108">AB22+AC22</f>
        <v>31</v>
      </c>
      <c r="AB22" s="273">
        <f t="shared" si="47"/>
        <v>0</v>
      </c>
      <c r="AC22" s="273">
        <f t="shared" si="48"/>
        <v>31</v>
      </c>
      <c r="AD22" s="273">
        <f t="shared" ref="AD22" si="109">AE22+AH22</f>
        <v>31</v>
      </c>
      <c r="AE22" s="273">
        <f t="shared" ref="AE22" si="110">AF22+AG22</f>
        <v>0</v>
      </c>
      <c r="AF22" s="273"/>
      <c r="AG22" s="273"/>
      <c r="AH22" s="273">
        <f t="shared" ref="AH22" si="111">AI22+AJ22</f>
        <v>31</v>
      </c>
      <c r="AI22" s="273">
        <v>31</v>
      </c>
      <c r="AJ22" s="273"/>
      <c r="AK22" s="273">
        <f t="shared" ref="AK22" si="112">AL22+AO22</f>
        <v>0</v>
      </c>
      <c r="AL22" s="273">
        <f t="shared" ref="AL22" si="113">AM22+AN22</f>
        <v>0</v>
      </c>
      <c r="AM22" s="273"/>
      <c r="AN22" s="273"/>
      <c r="AO22" s="273">
        <f t="shared" ref="AO22" si="114">AP22+AQ22</f>
        <v>0</v>
      </c>
      <c r="AP22" s="273"/>
      <c r="AQ22" s="273"/>
      <c r="AR22" s="273">
        <f t="shared" ref="AR22" si="115">AS22+AV22</f>
        <v>0</v>
      </c>
      <c r="AS22" s="273">
        <f t="shared" ref="AS22" si="116">AT22+AU22</f>
        <v>0</v>
      </c>
      <c r="AT22" s="273"/>
      <c r="AU22" s="273"/>
      <c r="AV22" s="273">
        <f t="shared" ref="AV22" si="117">AW22+AX22</f>
        <v>0</v>
      </c>
      <c r="AW22" s="273"/>
      <c r="AX22" s="273"/>
      <c r="AY22" s="274">
        <f t="shared" si="55"/>
        <v>4.4412607449856735E-2</v>
      </c>
      <c r="AZ22" s="274">
        <f t="shared" si="56"/>
        <v>0</v>
      </c>
      <c r="BA22" s="274">
        <f t="shared" si="57"/>
        <v>0.44927536231884058</v>
      </c>
      <c r="BB22" s="274">
        <f t="shared" si="60"/>
        <v>1</v>
      </c>
      <c r="BC22" s="274"/>
      <c r="BD22" s="274"/>
      <c r="BE22" s="274"/>
      <c r="BF22" s="274">
        <f t="shared" si="61"/>
        <v>1</v>
      </c>
      <c r="BG22" s="274">
        <f t="shared" si="62"/>
        <v>1</v>
      </c>
      <c r="BH22" s="274"/>
      <c r="BI22" s="274"/>
      <c r="BJ22" s="274"/>
      <c r="BK22" s="274"/>
      <c r="BL22" s="274"/>
      <c r="BM22" s="274"/>
      <c r="BN22" s="274"/>
      <c r="BO22" s="274"/>
      <c r="BP22" s="274">
        <f t="shared" si="64"/>
        <v>0</v>
      </c>
      <c r="BQ22" s="274">
        <f t="shared" ref="BQ22:BQ34" si="118">AS22/U22</f>
        <v>0</v>
      </c>
      <c r="BR22" s="274">
        <f t="shared" ref="BR22:BR34" si="119">AT22/V22</f>
        <v>0</v>
      </c>
      <c r="BS22" s="274"/>
      <c r="BT22" s="274">
        <f t="shared" si="65"/>
        <v>0</v>
      </c>
      <c r="BU22" s="274">
        <f t="shared" si="66"/>
        <v>0</v>
      </c>
      <c r="BV22" s="275"/>
    </row>
    <row r="23" spans="1:74" ht="21.95" customHeight="1">
      <c r="A23" s="271" t="s">
        <v>33</v>
      </c>
      <c r="B23" s="272" t="s">
        <v>500</v>
      </c>
      <c r="C23" s="273">
        <f t="shared" ref="C23:C26" si="120">D23+E23</f>
        <v>1783</v>
      </c>
      <c r="D23" s="273">
        <f t="shared" si="36"/>
        <v>1783</v>
      </c>
      <c r="E23" s="273">
        <f t="shared" si="37"/>
        <v>0</v>
      </c>
      <c r="F23" s="273">
        <f t="shared" si="38"/>
        <v>0</v>
      </c>
      <c r="G23" s="273">
        <f t="shared" si="39"/>
        <v>0</v>
      </c>
      <c r="H23" s="273"/>
      <c r="I23" s="273"/>
      <c r="J23" s="273">
        <f t="shared" si="40"/>
        <v>0</v>
      </c>
      <c r="K23" s="273"/>
      <c r="L23" s="273"/>
      <c r="M23" s="273">
        <f t="shared" si="41"/>
        <v>0</v>
      </c>
      <c r="N23" s="273">
        <f t="shared" si="42"/>
        <v>0</v>
      </c>
      <c r="O23" s="273"/>
      <c r="P23" s="273"/>
      <c r="Q23" s="273">
        <f t="shared" si="43"/>
        <v>0</v>
      </c>
      <c r="R23" s="273"/>
      <c r="S23" s="273"/>
      <c r="T23" s="273">
        <f t="shared" si="44"/>
        <v>1783</v>
      </c>
      <c r="U23" s="273">
        <f t="shared" si="45"/>
        <v>1783</v>
      </c>
      <c r="V23" s="273">
        <v>1783</v>
      </c>
      <c r="W23" s="273"/>
      <c r="X23" s="273">
        <f t="shared" si="46"/>
        <v>0</v>
      </c>
      <c r="Y23" s="273"/>
      <c r="Z23" s="273"/>
      <c r="AA23" s="273">
        <f t="shared" si="108"/>
        <v>1780.99</v>
      </c>
      <c r="AB23" s="273">
        <f t="shared" si="47"/>
        <v>1780.99</v>
      </c>
      <c r="AC23" s="273">
        <f t="shared" si="48"/>
        <v>0</v>
      </c>
      <c r="AD23" s="273">
        <f t="shared" si="49"/>
        <v>0</v>
      </c>
      <c r="AE23" s="273">
        <f t="shared" si="50"/>
        <v>0</v>
      </c>
      <c r="AF23" s="273"/>
      <c r="AG23" s="273"/>
      <c r="AH23" s="273">
        <f t="shared" si="51"/>
        <v>0</v>
      </c>
      <c r="AI23" s="273"/>
      <c r="AJ23" s="273"/>
      <c r="AK23" s="273">
        <f t="shared" si="52"/>
        <v>0</v>
      </c>
      <c r="AL23" s="273">
        <f t="shared" si="53"/>
        <v>0</v>
      </c>
      <c r="AM23" s="273"/>
      <c r="AN23" s="273"/>
      <c r="AO23" s="273">
        <f t="shared" si="54"/>
        <v>0</v>
      </c>
      <c r="AP23" s="273"/>
      <c r="AQ23" s="273"/>
      <c r="AR23" s="273">
        <f t="shared" si="33"/>
        <v>1780.99</v>
      </c>
      <c r="AS23" s="273">
        <f t="shared" si="34"/>
        <v>1780.99</v>
      </c>
      <c r="AT23" s="273">
        <v>1780.99</v>
      </c>
      <c r="AU23" s="273"/>
      <c r="AV23" s="273">
        <f t="shared" si="35"/>
        <v>0</v>
      </c>
      <c r="AW23" s="273"/>
      <c r="AX23" s="273"/>
      <c r="AY23" s="274">
        <f t="shared" si="55"/>
        <v>0.99887268648345484</v>
      </c>
      <c r="AZ23" s="274">
        <f t="shared" si="56"/>
        <v>0.99887268648345484</v>
      </c>
      <c r="BA23" s="274"/>
      <c r="BB23" s="274"/>
      <c r="BC23" s="274"/>
      <c r="BD23" s="274"/>
      <c r="BE23" s="274"/>
      <c r="BF23" s="274"/>
      <c r="BG23" s="274"/>
      <c r="BH23" s="274"/>
      <c r="BI23" s="274"/>
      <c r="BJ23" s="274"/>
      <c r="BK23" s="274"/>
      <c r="BL23" s="274"/>
      <c r="BM23" s="274"/>
      <c r="BN23" s="274"/>
      <c r="BO23" s="274"/>
      <c r="BP23" s="274">
        <f t="shared" si="64"/>
        <v>0.99887268648345484</v>
      </c>
      <c r="BQ23" s="274">
        <f t="shared" si="118"/>
        <v>0.99887268648345484</v>
      </c>
      <c r="BR23" s="274">
        <f t="shared" si="119"/>
        <v>0.99887268648345484</v>
      </c>
      <c r="BS23" s="274"/>
      <c r="BT23" s="274"/>
      <c r="BU23" s="274"/>
      <c r="BV23" s="275"/>
    </row>
    <row r="24" spans="1:74" ht="21.95" customHeight="1">
      <c r="A24" s="271" t="s">
        <v>34</v>
      </c>
      <c r="B24" s="272" t="s">
        <v>501</v>
      </c>
      <c r="C24" s="273">
        <f t="shared" si="120"/>
        <v>1131</v>
      </c>
      <c r="D24" s="273">
        <f t="shared" si="36"/>
        <v>1131</v>
      </c>
      <c r="E24" s="273">
        <f t="shared" si="37"/>
        <v>0</v>
      </c>
      <c r="F24" s="273">
        <f t="shared" si="38"/>
        <v>0</v>
      </c>
      <c r="G24" s="273">
        <f t="shared" si="39"/>
        <v>0</v>
      </c>
      <c r="H24" s="273"/>
      <c r="I24" s="273"/>
      <c r="J24" s="273">
        <f t="shared" si="40"/>
        <v>0</v>
      </c>
      <c r="K24" s="273"/>
      <c r="L24" s="273"/>
      <c r="M24" s="273">
        <f t="shared" si="41"/>
        <v>879</v>
      </c>
      <c r="N24" s="273">
        <f t="shared" si="42"/>
        <v>879</v>
      </c>
      <c r="O24" s="273">
        <v>879</v>
      </c>
      <c r="P24" s="273"/>
      <c r="Q24" s="273">
        <f t="shared" si="43"/>
        <v>0</v>
      </c>
      <c r="R24" s="273"/>
      <c r="S24" s="273"/>
      <c r="T24" s="273">
        <f t="shared" si="44"/>
        <v>252</v>
      </c>
      <c r="U24" s="273">
        <f t="shared" si="45"/>
        <v>252</v>
      </c>
      <c r="V24" s="273">
        <v>252</v>
      </c>
      <c r="W24" s="273"/>
      <c r="X24" s="273">
        <f t="shared" si="46"/>
        <v>0</v>
      </c>
      <c r="Y24" s="273"/>
      <c r="Z24" s="273"/>
      <c r="AA24" s="273">
        <f t="shared" ref="AA24" si="121">AB24+AC24</f>
        <v>1023.68622</v>
      </c>
      <c r="AB24" s="273">
        <f t="shared" si="47"/>
        <v>1023.68622</v>
      </c>
      <c r="AC24" s="273">
        <f t="shared" si="48"/>
        <v>0</v>
      </c>
      <c r="AD24" s="273">
        <f t="shared" si="49"/>
        <v>0</v>
      </c>
      <c r="AE24" s="273">
        <f t="shared" si="50"/>
        <v>0</v>
      </c>
      <c r="AF24" s="273"/>
      <c r="AG24" s="273"/>
      <c r="AH24" s="273">
        <f t="shared" si="51"/>
        <v>0</v>
      </c>
      <c r="AI24" s="273"/>
      <c r="AJ24" s="273"/>
      <c r="AK24" s="273">
        <f t="shared" si="52"/>
        <v>776.68622000000005</v>
      </c>
      <c r="AL24" s="273">
        <f t="shared" si="53"/>
        <v>776.68622000000005</v>
      </c>
      <c r="AM24" s="273">
        <v>776.68622000000005</v>
      </c>
      <c r="AN24" s="273"/>
      <c r="AO24" s="273">
        <f t="shared" si="54"/>
        <v>0</v>
      </c>
      <c r="AP24" s="273"/>
      <c r="AQ24" s="273"/>
      <c r="AR24" s="273">
        <f t="shared" si="33"/>
        <v>247</v>
      </c>
      <c r="AS24" s="273">
        <f t="shared" si="34"/>
        <v>247</v>
      </c>
      <c r="AT24" s="273">
        <v>247</v>
      </c>
      <c r="AU24" s="273"/>
      <c r="AV24" s="273">
        <f t="shared" si="35"/>
        <v>0</v>
      </c>
      <c r="AW24" s="273"/>
      <c r="AX24" s="273"/>
      <c r="AY24" s="274">
        <f t="shared" si="55"/>
        <v>0.90511602122015922</v>
      </c>
      <c r="AZ24" s="274">
        <f t="shared" si="56"/>
        <v>0.90511602122015922</v>
      </c>
      <c r="BA24" s="274"/>
      <c r="BB24" s="274"/>
      <c r="BC24" s="274"/>
      <c r="BD24" s="274"/>
      <c r="BE24" s="274"/>
      <c r="BF24" s="274"/>
      <c r="BG24" s="274"/>
      <c r="BH24" s="274"/>
      <c r="BI24" s="274">
        <f t="shared" si="63"/>
        <v>0.88360207053469852</v>
      </c>
      <c r="BJ24" s="274">
        <f t="shared" ref="BJ24:BJ34" si="122">AL24/N24</f>
        <v>0.88360207053469852</v>
      </c>
      <c r="BK24" s="274">
        <f t="shared" ref="BK24:BK34" si="123">AM24/O24</f>
        <v>0.88360207053469852</v>
      </c>
      <c r="BL24" s="274"/>
      <c r="BM24" s="274"/>
      <c r="BN24" s="274"/>
      <c r="BO24" s="274"/>
      <c r="BP24" s="274">
        <f t="shared" si="64"/>
        <v>0.98015873015873012</v>
      </c>
      <c r="BQ24" s="274">
        <f t="shared" si="118"/>
        <v>0.98015873015873012</v>
      </c>
      <c r="BR24" s="274">
        <f t="shared" si="119"/>
        <v>0.98015873015873012</v>
      </c>
      <c r="BS24" s="274"/>
      <c r="BT24" s="274"/>
      <c r="BU24" s="274"/>
      <c r="BV24" s="275"/>
    </row>
    <row r="25" spans="1:74" ht="21.95" customHeight="1">
      <c r="A25" s="271" t="s">
        <v>35</v>
      </c>
      <c r="B25" s="272" t="s">
        <v>502</v>
      </c>
      <c r="C25" s="273">
        <f t="shared" si="120"/>
        <v>2694</v>
      </c>
      <c r="D25" s="273">
        <f t="shared" si="36"/>
        <v>2694</v>
      </c>
      <c r="E25" s="273">
        <f t="shared" si="37"/>
        <v>0</v>
      </c>
      <c r="F25" s="273">
        <f t="shared" si="38"/>
        <v>0</v>
      </c>
      <c r="G25" s="273">
        <f t="shared" si="39"/>
        <v>0</v>
      </c>
      <c r="H25" s="273"/>
      <c r="I25" s="273"/>
      <c r="J25" s="273">
        <f t="shared" si="40"/>
        <v>0</v>
      </c>
      <c r="K25" s="273"/>
      <c r="L25" s="273"/>
      <c r="M25" s="273">
        <f t="shared" si="41"/>
        <v>878</v>
      </c>
      <c r="N25" s="273">
        <f t="shared" si="42"/>
        <v>878</v>
      </c>
      <c r="O25" s="273">
        <v>878</v>
      </c>
      <c r="P25" s="273"/>
      <c r="Q25" s="273">
        <f t="shared" si="43"/>
        <v>0</v>
      </c>
      <c r="R25" s="273"/>
      <c r="S25" s="273"/>
      <c r="T25" s="273">
        <f t="shared" si="44"/>
        <v>1816</v>
      </c>
      <c r="U25" s="273">
        <f t="shared" si="45"/>
        <v>1816</v>
      </c>
      <c r="V25" s="273">
        <v>1816</v>
      </c>
      <c r="W25" s="273"/>
      <c r="X25" s="273">
        <f t="shared" si="46"/>
        <v>0</v>
      </c>
      <c r="Y25" s="273"/>
      <c r="Z25" s="273"/>
      <c r="AA25" s="273">
        <f t="shared" ref="AA25:AA34" si="124">AB25+AC25</f>
        <v>398.74700000000001</v>
      </c>
      <c r="AB25" s="273">
        <f t="shared" si="47"/>
        <v>398.74700000000001</v>
      </c>
      <c r="AC25" s="273">
        <f t="shared" si="48"/>
        <v>0</v>
      </c>
      <c r="AD25" s="273">
        <f t="shared" si="49"/>
        <v>0</v>
      </c>
      <c r="AE25" s="273">
        <f t="shared" si="50"/>
        <v>0</v>
      </c>
      <c r="AF25" s="273"/>
      <c r="AG25" s="273"/>
      <c r="AH25" s="273">
        <f t="shared" si="51"/>
        <v>0</v>
      </c>
      <c r="AI25" s="273"/>
      <c r="AJ25" s="273"/>
      <c r="AK25" s="273">
        <f t="shared" si="52"/>
        <v>398.74700000000001</v>
      </c>
      <c r="AL25" s="273">
        <f t="shared" si="53"/>
        <v>398.74700000000001</v>
      </c>
      <c r="AM25" s="273">
        <v>398.74700000000001</v>
      </c>
      <c r="AN25" s="273"/>
      <c r="AO25" s="273">
        <f t="shared" si="54"/>
        <v>0</v>
      </c>
      <c r="AP25" s="273"/>
      <c r="AQ25" s="273"/>
      <c r="AR25" s="273">
        <f t="shared" si="33"/>
        <v>0</v>
      </c>
      <c r="AS25" s="273">
        <f t="shared" si="34"/>
        <v>0</v>
      </c>
      <c r="AT25" s="273"/>
      <c r="AU25" s="273"/>
      <c r="AV25" s="273">
        <f t="shared" si="35"/>
        <v>0</v>
      </c>
      <c r="AW25" s="273"/>
      <c r="AX25" s="273"/>
      <c r="AY25" s="274">
        <f t="shared" si="55"/>
        <v>0.14801299183370453</v>
      </c>
      <c r="AZ25" s="274">
        <f t="shared" si="56"/>
        <v>0.14801299183370453</v>
      </c>
      <c r="BA25" s="274"/>
      <c r="BB25" s="274"/>
      <c r="BC25" s="274"/>
      <c r="BD25" s="274"/>
      <c r="BE25" s="274"/>
      <c r="BF25" s="274"/>
      <c r="BG25" s="274"/>
      <c r="BH25" s="274"/>
      <c r="BI25" s="274">
        <f t="shared" si="63"/>
        <v>0.45415375854214124</v>
      </c>
      <c r="BJ25" s="274">
        <f t="shared" si="122"/>
        <v>0.45415375854214124</v>
      </c>
      <c r="BK25" s="274">
        <f t="shared" si="123"/>
        <v>0.45415375854214124</v>
      </c>
      <c r="BL25" s="274"/>
      <c r="BM25" s="274"/>
      <c r="BN25" s="274"/>
      <c r="BO25" s="274"/>
      <c r="BP25" s="274">
        <f t="shared" si="64"/>
        <v>0</v>
      </c>
      <c r="BQ25" s="274">
        <f t="shared" si="118"/>
        <v>0</v>
      </c>
      <c r="BR25" s="274">
        <f t="shared" si="119"/>
        <v>0</v>
      </c>
      <c r="BS25" s="274"/>
      <c r="BT25" s="274"/>
      <c r="BU25" s="274"/>
      <c r="BV25" s="275"/>
    </row>
    <row r="26" spans="1:74" ht="21.95" customHeight="1">
      <c r="A26" s="271" t="s">
        <v>36</v>
      </c>
      <c r="B26" s="272" t="s">
        <v>503</v>
      </c>
      <c r="C26" s="273">
        <f t="shared" si="120"/>
        <v>879</v>
      </c>
      <c r="D26" s="273">
        <f t="shared" ref="D26" si="125">G26+N26+U26</f>
        <v>879</v>
      </c>
      <c r="E26" s="273">
        <f t="shared" ref="E26" si="126">J26+Q26+X26</f>
        <v>0</v>
      </c>
      <c r="F26" s="273">
        <f t="shared" ref="F26" si="127">G26+J26</f>
        <v>0</v>
      </c>
      <c r="G26" s="273">
        <f t="shared" ref="G26" si="128">H26+I26</f>
        <v>0</v>
      </c>
      <c r="H26" s="273"/>
      <c r="I26" s="273"/>
      <c r="J26" s="273">
        <f t="shared" ref="J26" si="129">K26+L26</f>
        <v>0</v>
      </c>
      <c r="K26" s="273"/>
      <c r="L26" s="273"/>
      <c r="M26" s="273">
        <f t="shared" ref="M26" si="130">N26+Q26</f>
        <v>879</v>
      </c>
      <c r="N26" s="273">
        <f t="shared" ref="N26" si="131">O26+P26</f>
        <v>879</v>
      </c>
      <c r="O26" s="273">
        <v>879</v>
      </c>
      <c r="P26" s="273"/>
      <c r="Q26" s="273">
        <f t="shared" ref="Q26" si="132">R26+S26</f>
        <v>0</v>
      </c>
      <c r="R26" s="273"/>
      <c r="S26" s="273"/>
      <c r="T26" s="273">
        <f t="shared" ref="T26" si="133">U26+X26</f>
        <v>0</v>
      </c>
      <c r="U26" s="273">
        <f t="shared" ref="U26" si="134">V26+W26</f>
        <v>0</v>
      </c>
      <c r="V26" s="273"/>
      <c r="W26" s="273"/>
      <c r="X26" s="273">
        <f t="shared" ref="X26" si="135">Y26+Z26</f>
        <v>0</v>
      </c>
      <c r="Y26" s="273"/>
      <c r="Z26" s="273"/>
      <c r="AA26" s="273">
        <f t="shared" si="124"/>
        <v>261.7</v>
      </c>
      <c r="AB26" s="273">
        <f t="shared" si="47"/>
        <v>261.7</v>
      </c>
      <c r="AC26" s="273">
        <f t="shared" si="48"/>
        <v>0</v>
      </c>
      <c r="AD26" s="273">
        <f t="shared" ref="AD26" si="136">AE26+AH26</f>
        <v>0</v>
      </c>
      <c r="AE26" s="273">
        <f t="shared" ref="AE26" si="137">AF26+AG26</f>
        <v>0</v>
      </c>
      <c r="AF26" s="273"/>
      <c r="AG26" s="273"/>
      <c r="AH26" s="273">
        <f t="shared" ref="AH26" si="138">AI26+AJ26</f>
        <v>0</v>
      </c>
      <c r="AI26" s="273"/>
      <c r="AJ26" s="273"/>
      <c r="AK26" s="273">
        <f t="shared" ref="AK26" si="139">AL26+AO26</f>
        <v>261.7</v>
      </c>
      <c r="AL26" s="273">
        <f t="shared" ref="AL26" si="140">AM26+AN26</f>
        <v>261.7</v>
      </c>
      <c r="AM26" s="273">
        <v>261.7</v>
      </c>
      <c r="AN26" s="273"/>
      <c r="AO26" s="273">
        <f t="shared" ref="AO26" si="141">AP26+AQ26</f>
        <v>0</v>
      </c>
      <c r="AP26" s="273"/>
      <c r="AQ26" s="273"/>
      <c r="AR26" s="273">
        <f t="shared" ref="AR26" si="142">AS26+AV26</f>
        <v>0</v>
      </c>
      <c r="AS26" s="273">
        <f t="shared" ref="AS26" si="143">AT26+AU26</f>
        <v>0</v>
      </c>
      <c r="AT26" s="273"/>
      <c r="AU26" s="273"/>
      <c r="AV26" s="273">
        <f t="shared" ref="AV26" si="144">AW26+AX26</f>
        <v>0</v>
      </c>
      <c r="AW26" s="273"/>
      <c r="AX26" s="273"/>
      <c r="AY26" s="274">
        <f t="shared" si="55"/>
        <v>0.29772468714448236</v>
      </c>
      <c r="AZ26" s="274">
        <f t="shared" si="56"/>
        <v>0.29772468714448236</v>
      </c>
      <c r="BA26" s="274"/>
      <c r="BB26" s="274"/>
      <c r="BC26" s="274"/>
      <c r="BD26" s="274"/>
      <c r="BE26" s="274"/>
      <c r="BF26" s="274"/>
      <c r="BG26" s="274"/>
      <c r="BH26" s="274"/>
      <c r="BI26" s="274">
        <f t="shared" si="63"/>
        <v>0.29772468714448236</v>
      </c>
      <c r="BJ26" s="274">
        <f t="shared" si="122"/>
        <v>0.29772468714448236</v>
      </c>
      <c r="BK26" s="274">
        <f t="shared" si="123"/>
        <v>0.29772468714448236</v>
      </c>
      <c r="BL26" s="274"/>
      <c r="BM26" s="274"/>
      <c r="BN26" s="274"/>
      <c r="BO26" s="274"/>
      <c r="BP26" s="274"/>
      <c r="BQ26" s="274"/>
      <c r="BR26" s="274"/>
      <c r="BS26" s="274"/>
      <c r="BT26" s="274"/>
      <c r="BU26" s="274"/>
      <c r="BV26" s="275"/>
    </row>
    <row r="27" spans="1:74" ht="21.95" customHeight="1">
      <c r="A27" s="271" t="s">
        <v>37</v>
      </c>
      <c r="B27" s="272" t="s">
        <v>504</v>
      </c>
      <c r="C27" s="273">
        <f t="shared" ref="C27:C32" si="145">D27+E27</f>
        <v>3777</v>
      </c>
      <c r="D27" s="273">
        <f t="shared" ref="D27:D32" si="146">G27+N27+U27</f>
        <v>3777</v>
      </c>
      <c r="E27" s="273">
        <f t="shared" ref="E27:E32" si="147">J27+Q27+X27</f>
        <v>0</v>
      </c>
      <c r="F27" s="273">
        <f t="shared" ref="F27:F32" si="148">G27+J27</f>
        <v>0</v>
      </c>
      <c r="G27" s="273">
        <f t="shared" ref="G27:G32" si="149">H27+I27</f>
        <v>0</v>
      </c>
      <c r="H27" s="273"/>
      <c r="I27" s="273"/>
      <c r="J27" s="273">
        <f t="shared" ref="J27:J32" si="150">K27+L27</f>
        <v>0</v>
      </c>
      <c r="K27" s="273"/>
      <c r="L27" s="273"/>
      <c r="M27" s="273">
        <f t="shared" ref="M27:M32" si="151">N27+Q27</f>
        <v>1706</v>
      </c>
      <c r="N27" s="273">
        <f t="shared" ref="N27:N32" si="152">O27+P27</f>
        <v>1706</v>
      </c>
      <c r="O27" s="273">
        <v>1706</v>
      </c>
      <c r="P27" s="273"/>
      <c r="Q27" s="273">
        <f t="shared" ref="Q27:Q32" si="153">R27+S27</f>
        <v>0</v>
      </c>
      <c r="R27" s="273"/>
      <c r="S27" s="273"/>
      <c r="T27" s="273">
        <f t="shared" ref="T27:T32" si="154">U27+X27</f>
        <v>2071</v>
      </c>
      <c r="U27" s="273">
        <f t="shared" ref="U27:U32" si="155">V27+W27</f>
        <v>2071</v>
      </c>
      <c r="V27" s="273">
        <v>2071</v>
      </c>
      <c r="W27" s="273"/>
      <c r="X27" s="273">
        <f t="shared" ref="X27:X32" si="156">Y27+Z27</f>
        <v>0</v>
      </c>
      <c r="Y27" s="273"/>
      <c r="Z27" s="273"/>
      <c r="AA27" s="273">
        <f t="shared" si="124"/>
        <v>0</v>
      </c>
      <c r="AB27" s="273">
        <f t="shared" si="47"/>
        <v>0</v>
      </c>
      <c r="AC27" s="273">
        <f t="shared" si="48"/>
        <v>0</v>
      </c>
      <c r="AD27" s="273">
        <f t="shared" ref="AD27:AD32" si="157">AE27+AH27</f>
        <v>0</v>
      </c>
      <c r="AE27" s="273">
        <f t="shared" ref="AE27:AE32" si="158">AF27+AG27</f>
        <v>0</v>
      </c>
      <c r="AF27" s="273"/>
      <c r="AG27" s="273"/>
      <c r="AH27" s="273">
        <f t="shared" ref="AH27:AH32" si="159">AI27+AJ27</f>
        <v>0</v>
      </c>
      <c r="AI27" s="273"/>
      <c r="AJ27" s="273"/>
      <c r="AK27" s="273">
        <f t="shared" ref="AK27:AK32" si="160">AL27+AO27</f>
        <v>0</v>
      </c>
      <c r="AL27" s="273">
        <f t="shared" ref="AL27:AL32" si="161">AM27+AN27</f>
        <v>0</v>
      </c>
      <c r="AM27" s="273"/>
      <c r="AN27" s="273"/>
      <c r="AO27" s="273">
        <f t="shared" ref="AO27:AO32" si="162">AP27+AQ27</f>
        <v>0</v>
      </c>
      <c r="AP27" s="273"/>
      <c r="AQ27" s="273"/>
      <c r="AR27" s="273">
        <f t="shared" ref="AR27:AR32" si="163">AS27+AV27</f>
        <v>0</v>
      </c>
      <c r="AS27" s="273">
        <f t="shared" ref="AS27:AS32" si="164">AT27+AU27</f>
        <v>0</v>
      </c>
      <c r="AT27" s="273"/>
      <c r="AU27" s="273"/>
      <c r="AV27" s="273">
        <f t="shared" ref="AV27:AV32" si="165">AW27+AX27</f>
        <v>0</v>
      </c>
      <c r="AW27" s="273"/>
      <c r="AX27" s="273"/>
      <c r="AY27" s="274">
        <f t="shared" si="55"/>
        <v>0</v>
      </c>
      <c r="AZ27" s="274">
        <f t="shared" si="56"/>
        <v>0</v>
      </c>
      <c r="BA27" s="274"/>
      <c r="BB27" s="274"/>
      <c r="BC27" s="274"/>
      <c r="BD27" s="274"/>
      <c r="BE27" s="274"/>
      <c r="BF27" s="274"/>
      <c r="BG27" s="274"/>
      <c r="BH27" s="274"/>
      <c r="BI27" s="274">
        <f t="shared" si="63"/>
        <v>0</v>
      </c>
      <c r="BJ27" s="274">
        <f t="shared" si="122"/>
        <v>0</v>
      </c>
      <c r="BK27" s="274">
        <f t="shared" si="123"/>
        <v>0</v>
      </c>
      <c r="BL27" s="274"/>
      <c r="BM27" s="274"/>
      <c r="BN27" s="274"/>
      <c r="BO27" s="274"/>
      <c r="BP27" s="274">
        <f t="shared" si="64"/>
        <v>0</v>
      </c>
      <c r="BQ27" s="274">
        <f t="shared" si="118"/>
        <v>0</v>
      </c>
      <c r="BR27" s="274">
        <f t="shared" si="119"/>
        <v>0</v>
      </c>
      <c r="BS27" s="274"/>
      <c r="BT27" s="274"/>
      <c r="BU27" s="274"/>
      <c r="BV27" s="275"/>
    </row>
    <row r="28" spans="1:74" ht="21.95" customHeight="1">
      <c r="A28" s="271" t="s">
        <v>38</v>
      </c>
      <c r="B28" s="272" t="s">
        <v>505</v>
      </c>
      <c r="C28" s="273">
        <f t="shared" si="145"/>
        <v>3631</v>
      </c>
      <c r="D28" s="273">
        <f t="shared" si="146"/>
        <v>3631</v>
      </c>
      <c r="E28" s="273">
        <f t="shared" si="147"/>
        <v>0</v>
      </c>
      <c r="F28" s="273">
        <f t="shared" si="148"/>
        <v>0</v>
      </c>
      <c r="G28" s="273">
        <f t="shared" si="149"/>
        <v>0</v>
      </c>
      <c r="H28" s="273"/>
      <c r="I28" s="273"/>
      <c r="J28" s="273">
        <f t="shared" si="150"/>
        <v>0</v>
      </c>
      <c r="K28" s="273"/>
      <c r="L28" s="273"/>
      <c r="M28" s="273">
        <f t="shared" si="151"/>
        <v>1706</v>
      </c>
      <c r="N28" s="273">
        <f t="shared" si="152"/>
        <v>1706</v>
      </c>
      <c r="O28" s="273">
        <v>1706</v>
      </c>
      <c r="P28" s="273"/>
      <c r="Q28" s="273">
        <f t="shared" si="153"/>
        <v>0</v>
      </c>
      <c r="R28" s="273"/>
      <c r="S28" s="273"/>
      <c r="T28" s="273">
        <f t="shared" si="154"/>
        <v>1925</v>
      </c>
      <c r="U28" s="273">
        <f t="shared" si="155"/>
        <v>1925</v>
      </c>
      <c r="V28" s="273">
        <v>1925</v>
      </c>
      <c r="W28" s="273"/>
      <c r="X28" s="273">
        <f t="shared" si="156"/>
        <v>0</v>
      </c>
      <c r="Y28" s="273"/>
      <c r="Z28" s="273"/>
      <c r="AA28" s="273">
        <f t="shared" si="124"/>
        <v>100</v>
      </c>
      <c r="AB28" s="273">
        <f t="shared" si="47"/>
        <v>100</v>
      </c>
      <c r="AC28" s="273">
        <f t="shared" si="48"/>
        <v>0</v>
      </c>
      <c r="AD28" s="273">
        <f t="shared" si="157"/>
        <v>0</v>
      </c>
      <c r="AE28" s="273">
        <f t="shared" si="158"/>
        <v>0</v>
      </c>
      <c r="AF28" s="273"/>
      <c r="AG28" s="273"/>
      <c r="AH28" s="273">
        <f t="shared" si="159"/>
        <v>0</v>
      </c>
      <c r="AI28" s="273"/>
      <c r="AJ28" s="273"/>
      <c r="AK28" s="273">
        <f t="shared" si="160"/>
        <v>100</v>
      </c>
      <c r="AL28" s="273">
        <f t="shared" si="161"/>
        <v>100</v>
      </c>
      <c r="AM28" s="273">
        <v>100</v>
      </c>
      <c r="AN28" s="273"/>
      <c r="AO28" s="273">
        <f t="shared" si="162"/>
        <v>0</v>
      </c>
      <c r="AP28" s="273"/>
      <c r="AQ28" s="273"/>
      <c r="AR28" s="273">
        <f t="shared" si="163"/>
        <v>0</v>
      </c>
      <c r="AS28" s="273">
        <f t="shared" si="164"/>
        <v>0</v>
      </c>
      <c r="AT28" s="273"/>
      <c r="AU28" s="273"/>
      <c r="AV28" s="273">
        <f t="shared" si="165"/>
        <v>0</v>
      </c>
      <c r="AW28" s="273"/>
      <c r="AX28" s="273"/>
      <c r="AY28" s="274">
        <f t="shared" si="55"/>
        <v>2.7540622418066648E-2</v>
      </c>
      <c r="AZ28" s="274">
        <f t="shared" si="56"/>
        <v>2.7540622418066648E-2</v>
      </c>
      <c r="BA28" s="274"/>
      <c r="BB28" s="274"/>
      <c r="BC28" s="274"/>
      <c r="BD28" s="274"/>
      <c r="BE28" s="274"/>
      <c r="BF28" s="274"/>
      <c r="BG28" s="274"/>
      <c r="BH28" s="274"/>
      <c r="BI28" s="274">
        <f t="shared" si="63"/>
        <v>5.8616647127784291E-2</v>
      </c>
      <c r="BJ28" s="274">
        <f t="shared" si="122"/>
        <v>5.8616647127784291E-2</v>
      </c>
      <c r="BK28" s="274">
        <f t="shared" si="123"/>
        <v>5.8616647127784291E-2</v>
      </c>
      <c r="BL28" s="274"/>
      <c r="BM28" s="274"/>
      <c r="BN28" s="274"/>
      <c r="BO28" s="274"/>
      <c r="BP28" s="274">
        <f t="shared" si="64"/>
        <v>0</v>
      </c>
      <c r="BQ28" s="274">
        <f t="shared" si="118"/>
        <v>0</v>
      </c>
      <c r="BR28" s="274">
        <f t="shared" si="119"/>
        <v>0</v>
      </c>
      <c r="BS28" s="274"/>
      <c r="BT28" s="274"/>
      <c r="BU28" s="274"/>
      <c r="BV28" s="275"/>
    </row>
    <row r="29" spans="1:74" ht="21.95" customHeight="1">
      <c r="A29" s="271" t="s">
        <v>39</v>
      </c>
      <c r="B29" s="272" t="s">
        <v>506</v>
      </c>
      <c r="C29" s="273">
        <f t="shared" si="145"/>
        <v>1706</v>
      </c>
      <c r="D29" s="273">
        <f t="shared" si="146"/>
        <v>1706</v>
      </c>
      <c r="E29" s="273">
        <f t="shared" si="147"/>
        <v>0</v>
      </c>
      <c r="F29" s="273">
        <f t="shared" si="148"/>
        <v>0</v>
      </c>
      <c r="G29" s="273">
        <f t="shared" si="149"/>
        <v>0</v>
      </c>
      <c r="H29" s="273"/>
      <c r="I29" s="273"/>
      <c r="J29" s="273">
        <f t="shared" si="150"/>
        <v>0</v>
      </c>
      <c r="K29" s="273"/>
      <c r="L29" s="273"/>
      <c r="M29" s="273">
        <f t="shared" si="151"/>
        <v>1706</v>
      </c>
      <c r="N29" s="273">
        <f t="shared" si="152"/>
        <v>1706</v>
      </c>
      <c r="O29" s="273">
        <v>1706</v>
      </c>
      <c r="P29" s="273"/>
      <c r="Q29" s="273">
        <f t="shared" si="153"/>
        <v>0</v>
      </c>
      <c r="R29" s="273"/>
      <c r="S29" s="273"/>
      <c r="T29" s="273">
        <f t="shared" si="154"/>
        <v>0</v>
      </c>
      <c r="U29" s="273">
        <f t="shared" si="155"/>
        <v>0</v>
      </c>
      <c r="V29" s="273"/>
      <c r="W29" s="273"/>
      <c r="X29" s="273">
        <f t="shared" si="156"/>
        <v>0</v>
      </c>
      <c r="Y29" s="273"/>
      <c r="Z29" s="273"/>
      <c r="AA29" s="273">
        <f t="shared" si="124"/>
        <v>625.95100000000002</v>
      </c>
      <c r="AB29" s="273">
        <f t="shared" si="47"/>
        <v>625.95100000000002</v>
      </c>
      <c r="AC29" s="273">
        <f t="shared" si="48"/>
        <v>0</v>
      </c>
      <c r="AD29" s="273">
        <f t="shared" si="157"/>
        <v>0</v>
      </c>
      <c r="AE29" s="273">
        <f t="shared" si="158"/>
        <v>0</v>
      </c>
      <c r="AF29" s="273"/>
      <c r="AG29" s="273"/>
      <c r="AH29" s="273">
        <f t="shared" si="159"/>
        <v>0</v>
      </c>
      <c r="AI29" s="273"/>
      <c r="AJ29" s="273"/>
      <c r="AK29" s="273">
        <f t="shared" si="160"/>
        <v>625.95100000000002</v>
      </c>
      <c r="AL29" s="273">
        <f t="shared" si="161"/>
        <v>625.95100000000002</v>
      </c>
      <c r="AM29" s="273">
        <v>625.95100000000002</v>
      </c>
      <c r="AN29" s="273"/>
      <c r="AO29" s="273">
        <f t="shared" si="162"/>
        <v>0</v>
      </c>
      <c r="AP29" s="273"/>
      <c r="AQ29" s="273"/>
      <c r="AR29" s="273">
        <f t="shared" si="163"/>
        <v>0</v>
      </c>
      <c r="AS29" s="273">
        <f t="shared" si="164"/>
        <v>0</v>
      </c>
      <c r="AT29" s="273"/>
      <c r="AU29" s="273"/>
      <c r="AV29" s="273">
        <f t="shared" si="165"/>
        <v>0</v>
      </c>
      <c r="AW29" s="273"/>
      <c r="AX29" s="273"/>
      <c r="AY29" s="274">
        <f t="shared" si="55"/>
        <v>0.36691148886283703</v>
      </c>
      <c r="AZ29" s="274">
        <f t="shared" si="56"/>
        <v>0.36691148886283703</v>
      </c>
      <c r="BA29" s="274"/>
      <c r="BB29" s="274"/>
      <c r="BC29" s="274"/>
      <c r="BD29" s="274"/>
      <c r="BE29" s="274"/>
      <c r="BF29" s="274"/>
      <c r="BG29" s="274"/>
      <c r="BH29" s="274"/>
      <c r="BI29" s="274">
        <f t="shared" si="63"/>
        <v>0.36691148886283703</v>
      </c>
      <c r="BJ29" s="274">
        <f t="shared" si="122"/>
        <v>0.36691148886283703</v>
      </c>
      <c r="BK29" s="274">
        <f t="shared" si="123"/>
        <v>0.36691148886283703</v>
      </c>
      <c r="BL29" s="274"/>
      <c r="BM29" s="274"/>
      <c r="BN29" s="274"/>
      <c r="BO29" s="274"/>
      <c r="BP29" s="274"/>
      <c r="BQ29" s="274"/>
      <c r="BR29" s="274"/>
      <c r="BS29" s="274"/>
      <c r="BT29" s="274"/>
      <c r="BU29" s="274"/>
      <c r="BV29" s="275"/>
    </row>
    <row r="30" spans="1:74" ht="21.95" customHeight="1">
      <c r="A30" s="271" t="s">
        <v>40</v>
      </c>
      <c r="B30" s="272" t="s">
        <v>507</v>
      </c>
      <c r="C30" s="273">
        <f t="shared" si="145"/>
        <v>3656</v>
      </c>
      <c r="D30" s="273">
        <f t="shared" si="146"/>
        <v>3656</v>
      </c>
      <c r="E30" s="273">
        <f t="shared" si="147"/>
        <v>0</v>
      </c>
      <c r="F30" s="273">
        <f t="shared" si="148"/>
        <v>0</v>
      </c>
      <c r="G30" s="273">
        <f t="shared" si="149"/>
        <v>0</v>
      </c>
      <c r="H30" s="273"/>
      <c r="I30" s="273"/>
      <c r="J30" s="273">
        <f t="shared" si="150"/>
        <v>0</v>
      </c>
      <c r="K30" s="273"/>
      <c r="L30" s="273"/>
      <c r="M30" s="273">
        <f t="shared" si="151"/>
        <v>1706</v>
      </c>
      <c r="N30" s="273">
        <f t="shared" si="152"/>
        <v>1706</v>
      </c>
      <c r="O30" s="273">
        <v>1706</v>
      </c>
      <c r="P30" s="273"/>
      <c r="Q30" s="273">
        <f t="shared" si="153"/>
        <v>0</v>
      </c>
      <c r="R30" s="273"/>
      <c r="S30" s="273"/>
      <c r="T30" s="273">
        <f t="shared" si="154"/>
        <v>1950</v>
      </c>
      <c r="U30" s="273">
        <f t="shared" si="155"/>
        <v>1950</v>
      </c>
      <c r="V30" s="273">
        <v>1950</v>
      </c>
      <c r="W30" s="273"/>
      <c r="X30" s="273">
        <f t="shared" si="156"/>
        <v>0</v>
      </c>
      <c r="Y30" s="273"/>
      <c r="Z30" s="273"/>
      <c r="AA30" s="273">
        <f t="shared" si="124"/>
        <v>594.99699999999996</v>
      </c>
      <c r="AB30" s="273">
        <f t="shared" si="47"/>
        <v>594.99699999999996</v>
      </c>
      <c r="AC30" s="273">
        <f t="shared" si="48"/>
        <v>0</v>
      </c>
      <c r="AD30" s="273">
        <f t="shared" si="157"/>
        <v>0</v>
      </c>
      <c r="AE30" s="273">
        <f t="shared" si="158"/>
        <v>0</v>
      </c>
      <c r="AF30" s="273"/>
      <c r="AG30" s="273"/>
      <c r="AH30" s="273">
        <f t="shared" si="159"/>
        <v>0</v>
      </c>
      <c r="AI30" s="273"/>
      <c r="AJ30" s="273"/>
      <c r="AK30" s="273">
        <f t="shared" si="160"/>
        <v>594.99699999999996</v>
      </c>
      <c r="AL30" s="273">
        <f t="shared" si="161"/>
        <v>594.99699999999996</v>
      </c>
      <c r="AM30" s="273">
        <v>594.99699999999996</v>
      </c>
      <c r="AN30" s="273"/>
      <c r="AO30" s="273">
        <f t="shared" si="162"/>
        <v>0</v>
      </c>
      <c r="AP30" s="273"/>
      <c r="AQ30" s="273"/>
      <c r="AR30" s="273">
        <f t="shared" si="163"/>
        <v>0</v>
      </c>
      <c r="AS30" s="273">
        <f t="shared" si="164"/>
        <v>0</v>
      </c>
      <c r="AT30" s="273"/>
      <c r="AU30" s="273"/>
      <c r="AV30" s="273">
        <f t="shared" si="165"/>
        <v>0</v>
      </c>
      <c r="AW30" s="273"/>
      <c r="AX30" s="273"/>
      <c r="AY30" s="274">
        <f t="shared" si="55"/>
        <v>0.16274535010940919</v>
      </c>
      <c r="AZ30" s="274">
        <f t="shared" si="56"/>
        <v>0.16274535010940919</v>
      </c>
      <c r="BA30" s="274"/>
      <c r="BB30" s="274"/>
      <c r="BC30" s="274"/>
      <c r="BD30" s="274"/>
      <c r="BE30" s="274"/>
      <c r="BF30" s="274"/>
      <c r="BG30" s="274"/>
      <c r="BH30" s="274"/>
      <c r="BI30" s="274">
        <f t="shared" si="63"/>
        <v>0.34876729191090267</v>
      </c>
      <c r="BJ30" s="274">
        <f t="shared" si="122"/>
        <v>0.34876729191090267</v>
      </c>
      <c r="BK30" s="274">
        <f t="shared" si="123"/>
        <v>0.34876729191090267</v>
      </c>
      <c r="BL30" s="274"/>
      <c r="BM30" s="274"/>
      <c r="BN30" s="274"/>
      <c r="BO30" s="274"/>
      <c r="BP30" s="274">
        <f t="shared" si="64"/>
        <v>0</v>
      </c>
      <c r="BQ30" s="274">
        <f t="shared" si="118"/>
        <v>0</v>
      </c>
      <c r="BR30" s="274">
        <f t="shared" si="119"/>
        <v>0</v>
      </c>
      <c r="BS30" s="274"/>
      <c r="BT30" s="274"/>
      <c r="BU30" s="274"/>
      <c r="BV30" s="275"/>
    </row>
    <row r="31" spans="1:74" ht="21.95" customHeight="1">
      <c r="A31" s="271" t="s">
        <v>61</v>
      </c>
      <c r="B31" s="272" t="s">
        <v>508</v>
      </c>
      <c r="C31" s="273">
        <f t="shared" si="145"/>
        <v>3497</v>
      </c>
      <c r="D31" s="273">
        <f t="shared" si="146"/>
        <v>3497</v>
      </c>
      <c r="E31" s="273">
        <f t="shared" si="147"/>
        <v>0</v>
      </c>
      <c r="F31" s="273">
        <f t="shared" si="148"/>
        <v>0</v>
      </c>
      <c r="G31" s="273">
        <f t="shared" si="149"/>
        <v>0</v>
      </c>
      <c r="H31" s="273"/>
      <c r="I31" s="273"/>
      <c r="J31" s="273">
        <f t="shared" si="150"/>
        <v>0</v>
      </c>
      <c r="K31" s="273"/>
      <c r="L31" s="273"/>
      <c r="M31" s="273">
        <f t="shared" si="151"/>
        <v>1706</v>
      </c>
      <c r="N31" s="273">
        <f t="shared" si="152"/>
        <v>1706</v>
      </c>
      <c r="O31" s="273">
        <v>1706</v>
      </c>
      <c r="P31" s="273"/>
      <c r="Q31" s="273">
        <f t="shared" si="153"/>
        <v>0</v>
      </c>
      <c r="R31" s="273"/>
      <c r="S31" s="273"/>
      <c r="T31" s="273">
        <f t="shared" si="154"/>
        <v>1791</v>
      </c>
      <c r="U31" s="273">
        <f t="shared" si="155"/>
        <v>1791</v>
      </c>
      <c r="V31" s="273">
        <v>1791</v>
      </c>
      <c r="W31" s="273"/>
      <c r="X31" s="273">
        <f t="shared" si="156"/>
        <v>0</v>
      </c>
      <c r="Y31" s="273"/>
      <c r="Z31" s="273"/>
      <c r="AA31" s="273">
        <f t="shared" si="124"/>
        <v>3481.0494939999999</v>
      </c>
      <c r="AB31" s="273">
        <f t="shared" si="47"/>
        <v>3481.0494939999999</v>
      </c>
      <c r="AC31" s="273">
        <f t="shared" si="48"/>
        <v>0</v>
      </c>
      <c r="AD31" s="273">
        <f t="shared" si="157"/>
        <v>0</v>
      </c>
      <c r="AE31" s="273">
        <f t="shared" si="158"/>
        <v>0</v>
      </c>
      <c r="AF31" s="273"/>
      <c r="AG31" s="273"/>
      <c r="AH31" s="273">
        <f t="shared" si="159"/>
        <v>0</v>
      </c>
      <c r="AI31" s="273"/>
      <c r="AJ31" s="273"/>
      <c r="AK31" s="273">
        <f t="shared" si="160"/>
        <v>1694.6814939999999</v>
      </c>
      <c r="AL31" s="273">
        <f t="shared" si="161"/>
        <v>1694.6814939999999</v>
      </c>
      <c r="AM31" s="273">
        <v>1694.6814939999999</v>
      </c>
      <c r="AN31" s="273"/>
      <c r="AO31" s="273">
        <f t="shared" si="162"/>
        <v>0</v>
      </c>
      <c r="AP31" s="273"/>
      <c r="AQ31" s="273"/>
      <c r="AR31" s="273">
        <f t="shared" si="163"/>
        <v>1786.3679999999999</v>
      </c>
      <c r="AS31" s="273">
        <f t="shared" si="164"/>
        <v>1786.3679999999999</v>
      </c>
      <c r="AT31" s="273">
        <v>1786.3679999999999</v>
      </c>
      <c r="AU31" s="273"/>
      <c r="AV31" s="273">
        <f t="shared" si="165"/>
        <v>0</v>
      </c>
      <c r="AW31" s="273"/>
      <c r="AX31" s="273"/>
      <c r="AY31" s="274">
        <f t="shared" si="55"/>
        <v>0.99543880297397769</v>
      </c>
      <c r="AZ31" s="274">
        <f t="shared" si="56"/>
        <v>0.99543880297397769</v>
      </c>
      <c r="BA31" s="274"/>
      <c r="BB31" s="274"/>
      <c r="BC31" s="274"/>
      <c r="BD31" s="274"/>
      <c r="BE31" s="274"/>
      <c r="BF31" s="274"/>
      <c r="BG31" s="274"/>
      <c r="BH31" s="274"/>
      <c r="BI31" s="274">
        <f t="shared" si="63"/>
        <v>0.99336547127784292</v>
      </c>
      <c r="BJ31" s="274">
        <f t="shared" si="122"/>
        <v>0.99336547127784292</v>
      </c>
      <c r="BK31" s="274">
        <f t="shared" si="123"/>
        <v>0.99336547127784292</v>
      </c>
      <c r="BL31" s="274"/>
      <c r="BM31" s="274"/>
      <c r="BN31" s="274"/>
      <c r="BO31" s="274"/>
      <c r="BP31" s="274">
        <f t="shared" si="64"/>
        <v>0.99741373534338351</v>
      </c>
      <c r="BQ31" s="274">
        <f t="shared" si="118"/>
        <v>0.99741373534338351</v>
      </c>
      <c r="BR31" s="274">
        <f t="shared" si="119"/>
        <v>0.99741373534338351</v>
      </c>
      <c r="BS31" s="274"/>
      <c r="BT31" s="274"/>
      <c r="BU31" s="274"/>
      <c r="BV31" s="275"/>
    </row>
    <row r="32" spans="1:74" ht="21.95" customHeight="1">
      <c r="A32" s="271" t="s">
        <v>62</v>
      </c>
      <c r="B32" s="272" t="s">
        <v>509</v>
      </c>
      <c r="C32" s="273">
        <f t="shared" si="145"/>
        <v>2506</v>
      </c>
      <c r="D32" s="273">
        <f t="shared" si="146"/>
        <v>2506</v>
      </c>
      <c r="E32" s="273">
        <f t="shared" si="147"/>
        <v>0</v>
      </c>
      <c r="F32" s="273">
        <f t="shared" si="148"/>
        <v>0</v>
      </c>
      <c r="G32" s="273">
        <f t="shared" si="149"/>
        <v>0</v>
      </c>
      <c r="H32" s="273"/>
      <c r="I32" s="273"/>
      <c r="J32" s="273">
        <f t="shared" si="150"/>
        <v>0</v>
      </c>
      <c r="K32" s="273"/>
      <c r="L32" s="273"/>
      <c r="M32" s="273">
        <f t="shared" si="151"/>
        <v>1706</v>
      </c>
      <c r="N32" s="273">
        <f t="shared" si="152"/>
        <v>1706</v>
      </c>
      <c r="O32" s="273">
        <v>1706</v>
      </c>
      <c r="P32" s="273"/>
      <c r="Q32" s="273">
        <f t="shared" si="153"/>
        <v>0</v>
      </c>
      <c r="R32" s="273"/>
      <c r="S32" s="273"/>
      <c r="T32" s="273">
        <f t="shared" si="154"/>
        <v>800</v>
      </c>
      <c r="U32" s="273">
        <f t="shared" si="155"/>
        <v>800</v>
      </c>
      <c r="V32" s="273">
        <v>800</v>
      </c>
      <c r="W32" s="273"/>
      <c r="X32" s="273">
        <f t="shared" si="156"/>
        <v>0</v>
      </c>
      <c r="Y32" s="273"/>
      <c r="Z32" s="273"/>
      <c r="AA32" s="273">
        <f t="shared" si="124"/>
        <v>797.43895199999997</v>
      </c>
      <c r="AB32" s="273">
        <f t="shared" si="47"/>
        <v>797.43895199999997</v>
      </c>
      <c r="AC32" s="273">
        <f t="shared" si="48"/>
        <v>0</v>
      </c>
      <c r="AD32" s="273">
        <f t="shared" si="157"/>
        <v>0</v>
      </c>
      <c r="AE32" s="273">
        <f t="shared" si="158"/>
        <v>0</v>
      </c>
      <c r="AF32" s="273"/>
      <c r="AG32" s="273"/>
      <c r="AH32" s="273">
        <f t="shared" si="159"/>
        <v>0</v>
      </c>
      <c r="AI32" s="273"/>
      <c r="AJ32" s="273"/>
      <c r="AK32" s="273">
        <f t="shared" si="160"/>
        <v>0</v>
      </c>
      <c r="AL32" s="273">
        <f t="shared" si="161"/>
        <v>0</v>
      </c>
      <c r="AM32" s="273"/>
      <c r="AN32" s="273"/>
      <c r="AO32" s="273">
        <f t="shared" si="162"/>
        <v>0</v>
      </c>
      <c r="AP32" s="273"/>
      <c r="AQ32" s="273"/>
      <c r="AR32" s="273">
        <f t="shared" si="163"/>
        <v>797.43895199999997</v>
      </c>
      <c r="AS32" s="273">
        <f t="shared" si="164"/>
        <v>797.43895199999997</v>
      </c>
      <c r="AT32" s="273">
        <v>797.43895199999997</v>
      </c>
      <c r="AU32" s="273"/>
      <c r="AV32" s="273">
        <f t="shared" si="165"/>
        <v>0</v>
      </c>
      <c r="AW32" s="273"/>
      <c r="AX32" s="273"/>
      <c r="AY32" s="274">
        <f t="shared" si="55"/>
        <v>0.31821187230646447</v>
      </c>
      <c r="AZ32" s="274">
        <f t="shared" si="56"/>
        <v>0.31821187230646447</v>
      </c>
      <c r="BA32" s="274"/>
      <c r="BB32" s="274"/>
      <c r="BC32" s="274"/>
      <c r="BD32" s="274"/>
      <c r="BE32" s="274"/>
      <c r="BF32" s="274"/>
      <c r="BG32" s="274"/>
      <c r="BH32" s="274"/>
      <c r="BI32" s="274">
        <f t="shared" si="63"/>
        <v>0</v>
      </c>
      <c r="BJ32" s="274">
        <f t="shared" si="122"/>
        <v>0</v>
      </c>
      <c r="BK32" s="274">
        <f t="shared" si="123"/>
        <v>0</v>
      </c>
      <c r="BL32" s="274"/>
      <c r="BM32" s="274"/>
      <c r="BN32" s="274"/>
      <c r="BO32" s="274"/>
      <c r="BP32" s="274">
        <f t="shared" si="64"/>
        <v>0.99679868999999999</v>
      </c>
      <c r="BQ32" s="274">
        <f t="shared" si="118"/>
        <v>0.99679868999999999</v>
      </c>
      <c r="BR32" s="274">
        <f t="shared" si="119"/>
        <v>0.99679868999999999</v>
      </c>
      <c r="BS32" s="274"/>
      <c r="BT32" s="274"/>
      <c r="BU32" s="274"/>
      <c r="BV32" s="275"/>
    </row>
    <row r="33" spans="1:74" ht="21.95" customHeight="1">
      <c r="A33" s="271" t="s">
        <v>63</v>
      </c>
      <c r="B33" s="272" t="s">
        <v>510</v>
      </c>
      <c r="C33" s="273">
        <f t="shared" si="22"/>
        <v>2906</v>
      </c>
      <c r="D33" s="273">
        <f t="shared" si="36"/>
        <v>2906</v>
      </c>
      <c r="E33" s="273">
        <f t="shared" si="37"/>
        <v>0</v>
      </c>
      <c r="F33" s="273">
        <f t="shared" si="38"/>
        <v>0</v>
      </c>
      <c r="G33" s="273">
        <f t="shared" si="39"/>
        <v>0</v>
      </c>
      <c r="H33" s="273"/>
      <c r="I33" s="273"/>
      <c r="J33" s="273">
        <f t="shared" si="40"/>
        <v>0</v>
      </c>
      <c r="K33" s="273"/>
      <c r="L33" s="273"/>
      <c r="M33" s="273">
        <f t="shared" si="41"/>
        <v>1706</v>
      </c>
      <c r="N33" s="273">
        <f t="shared" si="42"/>
        <v>1706</v>
      </c>
      <c r="O33" s="273">
        <v>1706</v>
      </c>
      <c r="P33" s="273"/>
      <c r="Q33" s="273">
        <f t="shared" si="43"/>
        <v>0</v>
      </c>
      <c r="R33" s="273"/>
      <c r="S33" s="273"/>
      <c r="T33" s="273">
        <f t="shared" si="44"/>
        <v>1200</v>
      </c>
      <c r="U33" s="273">
        <f t="shared" si="45"/>
        <v>1200</v>
      </c>
      <c r="V33" s="273">
        <v>1200</v>
      </c>
      <c r="W33" s="273"/>
      <c r="X33" s="273">
        <f t="shared" si="46"/>
        <v>0</v>
      </c>
      <c r="Y33" s="273"/>
      <c r="Z33" s="273"/>
      <c r="AA33" s="273">
        <f t="shared" si="124"/>
        <v>1699.039419</v>
      </c>
      <c r="AB33" s="273">
        <f t="shared" si="47"/>
        <v>1699.039419</v>
      </c>
      <c r="AC33" s="273">
        <f t="shared" si="48"/>
        <v>0</v>
      </c>
      <c r="AD33" s="273">
        <f t="shared" si="49"/>
        <v>0</v>
      </c>
      <c r="AE33" s="273">
        <f t="shared" si="50"/>
        <v>0</v>
      </c>
      <c r="AF33" s="273"/>
      <c r="AG33" s="273"/>
      <c r="AH33" s="273">
        <f t="shared" si="51"/>
        <v>0</v>
      </c>
      <c r="AI33" s="273"/>
      <c r="AJ33" s="273"/>
      <c r="AK33" s="273">
        <f t="shared" si="52"/>
        <v>1699.039419</v>
      </c>
      <c r="AL33" s="273">
        <f t="shared" si="53"/>
        <v>1699.039419</v>
      </c>
      <c r="AM33" s="273">
        <v>1699.039419</v>
      </c>
      <c r="AN33" s="273"/>
      <c r="AO33" s="273">
        <f t="shared" si="54"/>
        <v>0</v>
      </c>
      <c r="AP33" s="273"/>
      <c r="AQ33" s="273"/>
      <c r="AR33" s="273">
        <f t="shared" si="33"/>
        <v>0</v>
      </c>
      <c r="AS33" s="273">
        <f t="shared" si="34"/>
        <v>0</v>
      </c>
      <c r="AT33" s="273"/>
      <c r="AU33" s="273"/>
      <c r="AV33" s="273">
        <f t="shared" si="35"/>
        <v>0</v>
      </c>
      <c r="AW33" s="273"/>
      <c r="AX33" s="273"/>
      <c r="AY33" s="274">
        <f t="shared" si="55"/>
        <v>0.58466600791465928</v>
      </c>
      <c r="AZ33" s="274">
        <f t="shared" si="56"/>
        <v>0.58466600791465928</v>
      </c>
      <c r="BA33" s="274"/>
      <c r="BB33" s="274"/>
      <c r="BC33" s="274"/>
      <c r="BD33" s="274"/>
      <c r="BE33" s="274"/>
      <c r="BF33" s="274"/>
      <c r="BG33" s="274"/>
      <c r="BH33" s="274"/>
      <c r="BI33" s="274">
        <f t="shared" si="63"/>
        <v>0.99591994079718638</v>
      </c>
      <c r="BJ33" s="274">
        <f t="shared" si="122"/>
        <v>0.99591994079718638</v>
      </c>
      <c r="BK33" s="274">
        <f t="shared" si="123"/>
        <v>0.99591994079718638</v>
      </c>
      <c r="BL33" s="274"/>
      <c r="BM33" s="274"/>
      <c r="BN33" s="274"/>
      <c r="BO33" s="274"/>
      <c r="BP33" s="274">
        <f t="shared" si="64"/>
        <v>0</v>
      </c>
      <c r="BQ33" s="274">
        <f t="shared" si="118"/>
        <v>0</v>
      </c>
      <c r="BR33" s="274">
        <f t="shared" si="119"/>
        <v>0</v>
      </c>
      <c r="BS33" s="274"/>
      <c r="BT33" s="274"/>
      <c r="BU33" s="274"/>
      <c r="BV33" s="275"/>
    </row>
    <row r="34" spans="1:74" ht="21.95" customHeight="1">
      <c r="A34" s="271" t="s">
        <v>64</v>
      </c>
      <c r="B34" s="272" t="s">
        <v>511</v>
      </c>
      <c r="C34" s="273">
        <f t="shared" si="22"/>
        <v>2606</v>
      </c>
      <c r="D34" s="273">
        <f t="shared" si="36"/>
        <v>2606</v>
      </c>
      <c r="E34" s="273">
        <f t="shared" si="37"/>
        <v>0</v>
      </c>
      <c r="F34" s="273">
        <f t="shared" si="23"/>
        <v>0</v>
      </c>
      <c r="G34" s="273">
        <f t="shared" si="24"/>
        <v>0</v>
      </c>
      <c r="H34" s="273"/>
      <c r="I34" s="273"/>
      <c r="J34" s="273">
        <f t="shared" si="25"/>
        <v>0</v>
      </c>
      <c r="K34" s="273"/>
      <c r="L34" s="273"/>
      <c r="M34" s="273">
        <f t="shared" ref="M34" si="166">N34+Q34</f>
        <v>1706</v>
      </c>
      <c r="N34" s="273">
        <f t="shared" ref="N34" si="167">O34+P34</f>
        <v>1706</v>
      </c>
      <c r="O34" s="273">
        <v>1706</v>
      </c>
      <c r="P34" s="273"/>
      <c r="Q34" s="273">
        <f t="shared" ref="Q34" si="168">R34+S34</f>
        <v>0</v>
      </c>
      <c r="R34" s="273"/>
      <c r="S34" s="273"/>
      <c r="T34" s="273">
        <f t="shared" ref="T34" si="169">U34+X34</f>
        <v>900</v>
      </c>
      <c r="U34" s="273">
        <f t="shared" ref="U34" si="170">V34+W34</f>
        <v>900</v>
      </c>
      <c r="V34" s="273">
        <v>900</v>
      </c>
      <c r="W34" s="273"/>
      <c r="X34" s="273">
        <f t="shared" ref="X34" si="171">Y34+Z34</f>
        <v>0</v>
      </c>
      <c r="Y34" s="273"/>
      <c r="Z34" s="273"/>
      <c r="AA34" s="273">
        <f t="shared" si="124"/>
        <v>0</v>
      </c>
      <c r="AB34" s="273">
        <f t="shared" si="47"/>
        <v>0</v>
      </c>
      <c r="AC34" s="273">
        <f t="shared" si="48"/>
        <v>0</v>
      </c>
      <c r="AD34" s="273">
        <f t="shared" si="27"/>
        <v>0</v>
      </c>
      <c r="AE34" s="273">
        <f t="shared" si="28"/>
        <v>0</v>
      </c>
      <c r="AF34" s="273"/>
      <c r="AG34" s="273"/>
      <c r="AH34" s="273">
        <f t="shared" si="29"/>
        <v>0</v>
      </c>
      <c r="AI34" s="273"/>
      <c r="AJ34" s="273"/>
      <c r="AK34" s="273">
        <f t="shared" si="30"/>
        <v>0</v>
      </c>
      <c r="AL34" s="273">
        <f t="shared" si="31"/>
        <v>0</v>
      </c>
      <c r="AM34" s="273"/>
      <c r="AN34" s="273"/>
      <c r="AO34" s="273">
        <f t="shared" si="32"/>
        <v>0</v>
      </c>
      <c r="AP34" s="273"/>
      <c r="AQ34" s="273"/>
      <c r="AR34" s="273">
        <f t="shared" si="33"/>
        <v>0</v>
      </c>
      <c r="AS34" s="273">
        <f t="shared" si="34"/>
        <v>0</v>
      </c>
      <c r="AT34" s="273"/>
      <c r="AU34" s="273"/>
      <c r="AV34" s="273">
        <f t="shared" si="35"/>
        <v>0</v>
      </c>
      <c r="AW34" s="273"/>
      <c r="AX34" s="273"/>
      <c r="AY34" s="274">
        <f t="shared" si="55"/>
        <v>0</v>
      </c>
      <c r="AZ34" s="274">
        <f t="shared" si="56"/>
        <v>0</v>
      </c>
      <c r="BA34" s="274"/>
      <c r="BB34" s="274"/>
      <c r="BC34" s="274"/>
      <c r="BD34" s="274"/>
      <c r="BE34" s="274"/>
      <c r="BF34" s="274"/>
      <c r="BG34" s="274"/>
      <c r="BH34" s="274"/>
      <c r="BI34" s="274">
        <f t="shared" si="63"/>
        <v>0</v>
      </c>
      <c r="BJ34" s="274">
        <f t="shared" si="122"/>
        <v>0</v>
      </c>
      <c r="BK34" s="274">
        <f t="shared" si="123"/>
        <v>0</v>
      </c>
      <c r="BL34" s="274"/>
      <c r="BM34" s="274"/>
      <c r="BN34" s="274"/>
      <c r="BO34" s="274"/>
      <c r="BP34" s="274">
        <f t="shared" si="64"/>
        <v>0</v>
      </c>
      <c r="BQ34" s="274">
        <f t="shared" si="118"/>
        <v>0</v>
      </c>
      <c r="BR34" s="274">
        <f t="shared" si="119"/>
        <v>0</v>
      </c>
      <c r="BS34" s="274"/>
      <c r="BT34" s="274"/>
      <c r="BU34" s="274"/>
      <c r="BV34" s="275"/>
    </row>
    <row r="35" spans="1:74" s="162" customFormat="1" ht="21.95" customHeight="1">
      <c r="A35" s="266" t="s">
        <v>16</v>
      </c>
      <c r="B35" s="267" t="s">
        <v>55</v>
      </c>
      <c r="C35" s="268">
        <f t="shared" ref="C35:AA35" si="172">SUM(C36:C48)</f>
        <v>14683</v>
      </c>
      <c r="D35" s="268">
        <f t="shared" si="172"/>
        <v>0</v>
      </c>
      <c r="E35" s="268">
        <f t="shared" si="172"/>
        <v>14683</v>
      </c>
      <c r="F35" s="268">
        <f t="shared" si="172"/>
        <v>2278</v>
      </c>
      <c r="G35" s="268">
        <f t="shared" si="172"/>
        <v>0</v>
      </c>
      <c r="H35" s="268">
        <f t="shared" si="172"/>
        <v>0</v>
      </c>
      <c r="I35" s="268">
        <f t="shared" si="172"/>
        <v>0</v>
      </c>
      <c r="J35" s="268">
        <f t="shared" si="172"/>
        <v>2278</v>
      </c>
      <c r="K35" s="268">
        <f t="shared" si="172"/>
        <v>2278</v>
      </c>
      <c r="L35" s="268">
        <f t="shared" si="172"/>
        <v>0</v>
      </c>
      <c r="M35" s="268">
        <f t="shared" si="172"/>
        <v>1020</v>
      </c>
      <c r="N35" s="268">
        <f t="shared" si="172"/>
        <v>0</v>
      </c>
      <c r="O35" s="268">
        <f t="shared" si="172"/>
        <v>0</v>
      </c>
      <c r="P35" s="268">
        <f t="shared" si="172"/>
        <v>0</v>
      </c>
      <c r="Q35" s="268">
        <f t="shared" si="172"/>
        <v>1020</v>
      </c>
      <c r="R35" s="268">
        <f t="shared" si="172"/>
        <v>1020</v>
      </c>
      <c r="S35" s="268">
        <f t="shared" si="172"/>
        <v>0</v>
      </c>
      <c r="T35" s="268">
        <f t="shared" si="172"/>
        <v>11385</v>
      </c>
      <c r="U35" s="268">
        <f t="shared" si="172"/>
        <v>0</v>
      </c>
      <c r="V35" s="268">
        <f t="shared" si="172"/>
        <v>0</v>
      </c>
      <c r="W35" s="268">
        <f t="shared" si="172"/>
        <v>0</v>
      </c>
      <c r="X35" s="268">
        <f t="shared" si="172"/>
        <v>11385</v>
      </c>
      <c r="Y35" s="268">
        <f t="shared" si="172"/>
        <v>11385</v>
      </c>
      <c r="Z35" s="268">
        <f t="shared" si="172"/>
        <v>0</v>
      </c>
      <c r="AA35" s="268">
        <f t="shared" si="172"/>
        <v>1885.296922</v>
      </c>
      <c r="AB35" s="268">
        <f t="shared" ref="AB35:AC35" si="173">SUM(AB36:AB48)</f>
        <v>0</v>
      </c>
      <c r="AC35" s="268">
        <f t="shared" si="173"/>
        <v>1885.296922</v>
      </c>
      <c r="AD35" s="268">
        <f t="shared" ref="AD35" si="174">SUM(AD36:AD48)</f>
        <v>122.7</v>
      </c>
      <c r="AE35" s="268">
        <f t="shared" ref="AE35:AX35" si="175">SUM(AE36:AE48)</f>
        <v>0</v>
      </c>
      <c r="AF35" s="268">
        <f t="shared" si="175"/>
        <v>0</v>
      </c>
      <c r="AG35" s="268">
        <f t="shared" si="175"/>
        <v>0</v>
      </c>
      <c r="AH35" s="268">
        <f t="shared" si="175"/>
        <v>122.7</v>
      </c>
      <c r="AI35" s="268">
        <f t="shared" si="175"/>
        <v>122.7</v>
      </c>
      <c r="AJ35" s="268">
        <f t="shared" si="175"/>
        <v>0</v>
      </c>
      <c r="AK35" s="268">
        <f t="shared" si="175"/>
        <v>771.42236800000012</v>
      </c>
      <c r="AL35" s="268">
        <f t="shared" si="175"/>
        <v>0</v>
      </c>
      <c r="AM35" s="268">
        <f t="shared" si="175"/>
        <v>0</v>
      </c>
      <c r="AN35" s="268">
        <f t="shared" si="175"/>
        <v>0</v>
      </c>
      <c r="AO35" s="268">
        <f t="shared" si="175"/>
        <v>771.42236800000012</v>
      </c>
      <c r="AP35" s="268">
        <f t="shared" si="175"/>
        <v>771.42236800000012</v>
      </c>
      <c r="AQ35" s="268">
        <f t="shared" si="175"/>
        <v>0</v>
      </c>
      <c r="AR35" s="268">
        <f t="shared" si="175"/>
        <v>991.17455400000006</v>
      </c>
      <c r="AS35" s="268">
        <f t="shared" si="175"/>
        <v>0</v>
      </c>
      <c r="AT35" s="268">
        <f t="shared" si="175"/>
        <v>0</v>
      </c>
      <c r="AU35" s="268">
        <f t="shared" si="175"/>
        <v>0</v>
      </c>
      <c r="AV35" s="268">
        <f t="shared" si="175"/>
        <v>991.17455400000006</v>
      </c>
      <c r="AW35" s="268">
        <f t="shared" si="175"/>
        <v>991.17455400000006</v>
      </c>
      <c r="AX35" s="268">
        <f t="shared" si="175"/>
        <v>0</v>
      </c>
      <c r="AY35" s="269">
        <f t="shared" si="55"/>
        <v>0.12839998106653955</v>
      </c>
      <c r="AZ35" s="269"/>
      <c r="BA35" s="269">
        <f t="shared" si="57"/>
        <v>0.12839998106653955</v>
      </c>
      <c r="BB35" s="269">
        <f t="shared" si="60"/>
        <v>5.3863037752414397E-2</v>
      </c>
      <c r="BC35" s="269"/>
      <c r="BD35" s="269"/>
      <c r="BE35" s="269"/>
      <c r="BF35" s="269">
        <f t="shared" si="61"/>
        <v>5.3863037752414397E-2</v>
      </c>
      <c r="BG35" s="269">
        <f t="shared" si="62"/>
        <v>5.3863037752414397E-2</v>
      </c>
      <c r="BH35" s="269"/>
      <c r="BI35" s="269">
        <f t="shared" si="63"/>
        <v>0.75629643921568634</v>
      </c>
      <c r="BJ35" s="269"/>
      <c r="BK35" s="269"/>
      <c r="BL35" s="269"/>
      <c r="BM35" s="269">
        <f t="shared" ref="BM35:BM47" si="176">AO35/Q35</f>
        <v>0.75629643921568634</v>
      </c>
      <c r="BN35" s="269">
        <f t="shared" ref="BN35:BN47" si="177">AP35/R35</f>
        <v>0.75629643921568634</v>
      </c>
      <c r="BO35" s="269"/>
      <c r="BP35" s="269">
        <f t="shared" si="64"/>
        <v>8.7059688537549418E-2</v>
      </c>
      <c r="BQ35" s="269"/>
      <c r="BR35" s="269"/>
      <c r="BS35" s="269"/>
      <c r="BT35" s="269">
        <f t="shared" si="65"/>
        <v>8.7059688537549418E-2</v>
      </c>
      <c r="BU35" s="269">
        <f t="shared" si="66"/>
        <v>8.7059688537549418E-2</v>
      </c>
      <c r="BV35" s="270"/>
    </row>
    <row r="36" spans="1:74" ht="21.95" customHeight="1">
      <c r="A36" s="271" t="s">
        <v>10</v>
      </c>
      <c r="B36" s="272" t="s">
        <v>500</v>
      </c>
      <c r="C36" s="273">
        <f t="shared" ref="C36:C47" si="178">D36+E36</f>
        <v>1283</v>
      </c>
      <c r="D36" s="273">
        <f t="shared" ref="D36:D47" si="179">G36+N36+U36</f>
        <v>0</v>
      </c>
      <c r="E36" s="273">
        <f t="shared" ref="E36:E47" si="180">J36+Q36+X36</f>
        <v>1283</v>
      </c>
      <c r="F36" s="273">
        <f t="shared" ref="F36:F47" si="181">G36+J36</f>
        <v>220</v>
      </c>
      <c r="G36" s="273">
        <f t="shared" ref="G36:G47" si="182">H36+I36</f>
        <v>0</v>
      </c>
      <c r="H36" s="273"/>
      <c r="I36" s="273"/>
      <c r="J36" s="273">
        <f t="shared" ref="J36:J47" si="183">K36+L36</f>
        <v>220</v>
      </c>
      <c r="K36" s="273">
        <v>220</v>
      </c>
      <c r="L36" s="273"/>
      <c r="M36" s="273">
        <f t="shared" ref="M36:M47" si="184">N36+Q36</f>
        <v>0</v>
      </c>
      <c r="N36" s="273">
        <f t="shared" ref="N36:N47" si="185">O36+P36</f>
        <v>0</v>
      </c>
      <c r="O36" s="273"/>
      <c r="P36" s="273"/>
      <c r="Q36" s="273">
        <f t="shared" ref="Q36:Q47" si="186">R36+S36</f>
        <v>0</v>
      </c>
      <c r="R36" s="273"/>
      <c r="S36" s="273"/>
      <c r="T36" s="273">
        <f t="shared" ref="T36:T47" si="187">U36+X36</f>
        <v>1063</v>
      </c>
      <c r="U36" s="273">
        <f t="shared" ref="U36:U47" si="188">V36+W36</f>
        <v>0</v>
      </c>
      <c r="V36" s="273"/>
      <c r="W36" s="273"/>
      <c r="X36" s="273">
        <f t="shared" ref="X36:X47" si="189">Y36+Z36</f>
        <v>1063</v>
      </c>
      <c r="Y36" s="273">
        <v>1063</v>
      </c>
      <c r="Z36" s="273"/>
      <c r="AA36" s="273">
        <f>AB36+AC36</f>
        <v>147.29159300000001</v>
      </c>
      <c r="AB36" s="273">
        <f t="shared" si="47"/>
        <v>0</v>
      </c>
      <c r="AC36" s="273">
        <f t="shared" si="48"/>
        <v>147.29159300000001</v>
      </c>
      <c r="AD36" s="273">
        <f t="shared" ref="AD36:AD47" si="190">AE36+AH36</f>
        <v>0</v>
      </c>
      <c r="AE36" s="273">
        <f t="shared" ref="AE36:AE47" si="191">AF36+AG36</f>
        <v>0</v>
      </c>
      <c r="AF36" s="273"/>
      <c r="AG36" s="273"/>
      <c r="AH36" s="273">
        <f t="shared" ref="AH36:AH47" si="192">AI36+AJ36</f>
        <v>0</v>
      </c>
      <c r="AI36" s="273"/>
      <c r="AJ36" s="273"/>
      <c r="AK36" s="273">
        <f t="shared" ref="AK36:AK47" si="193">AL36+AO36</f>
        <v>0</v>
      </c>
      <c r="AL36" s="273">
        <f t="shared" ref="AL36:AL47" si="194">AM36+AN36</f>
        <v>0</v>
      </c>
      <c r="AM36" s="273"/>
      <c r="AN36" s="273"/>
      <c r="AO36" s="273">
        <f t="shared" ref="AO36:AO47" si="195">AP36+AQ36</f>
        <v>0</v>
      </c>
      <c r="AP36" s="273"/>
      <c r="AQ36" s="273"/>
      <c r="AR36" s="273">
        <f t="shared" ref="AR36:AR47" si="196">AS36+AV36</f>
        <v>147.29159300000001</v>
      </c>
      <c r="AS36" s="273">
        <f t="shared" ref="AS36:AS47" si="197">AT36+AU36</f>
        <v>0</v>
      </c>
      <c r="AT36" s="273"/>
      <c r="AU36" s="273"/>
      <c r="AV36" s="273">
        <f t="shared" ref="AV36:AV47" si="198">AW36+AX36</f>
        <v>147.29159300000001</v>
      </c>
      <c r="AW36" s="273">
        <v>147.29159300000001</v>
      </c>
      <c r="AX36" s="273"/>
      <c r="AY36" s="274">
        <f t="shared" si="55"/>
        <v>0.11480248869836322</v>
      </c>
      <c r="AZ36" s="274"/>
      <c r="BA36" s="274">
        <f t="shared" si="57"/>
        <v>0.11480248869836322</v>
      </c>
      <c r="BB36" s="274">
        <f t="shared" si="60"/>
        <v>0</v>
      </c>
      <c r="BC36" s="274"/>
      <c r="BD36" s="274"/>
      <c r="BE36" s="274"/>
      <c r="BF36" s="274">
        <f t="shared" si="61"/>
        <v>0</v>
      </c>
      <c r="BG36" s="274">
        <f t="shared" si="62"/>
        <v>0</v>
      </c>
      <c r="BH36" s="274"/>
      <c r="BI36" s="274"/>
      <c r="BJ36" s="274"/>
      <c r="BK36" s="274"/>
      <c r="BL36" s="274"/>
      <c r="BM36" s="274"/>
      <c r="BN36" s="274"/>
      <c r="BO36" s="274"/>
      <c r="BP36" s="274">
        <f t="shared" si="64"/>
        <v>0.13856217591721542</v>
      </c>
      <c r="BQ36" s="274"/>
      <c r="BR36" s="274"/>
      <c r="BS36" s="274"/>
      <c r="BT36" s="274">
        <f t="shared" si="65"/>
        <v>0.13856217591721542</v>
      </c>
      <c r="BU36" s="274">
        <f t="shared" si="66"/>
        <v>0.13856217591721542</v>
      </c>
      <c r="BV36" s="275"/>
    </row>
    <row r="37" spans="1:74" ht="21.95" customHeight="1">
      <c r="A37" s="271" t="s">
        <v>18</v>
      </c>
      <c r="B37" s="272" t="s">
        <v>501</v>
      </c>
      <c r="C37" s="273">
        <f t="shared" si="178"/>
        <v>770</v>
      </c>
      <c r="D37" s="273">
        <f t="shared" si="179"/>
        <v>0</v>
      </c>
      <c r="E37" s="273">
        <f t="shared" si="180"/>
        <v>770</v>
      </c>
      <c r="F37" s="273">
        <f t="shared" si="181"/>
        <v>145</v>
      </c>
      <c r="G37" s="273">
        <f t="shared" si="182"/>
        <v>0</v>
      </c>
      <c r="H37" s="273"/>
      <c r="I37" s="273"/>
      <c r="J37" s="273">
        <f t="shared" si="183"/>
        <v>145</v>
      </c>
      <c r="K37" s="273">
        <v>145</v>
      </c>
      <c r="L37" s="273"/>
      <c r="M37" s="273">
        <f t="shared" si="184"/>
        <v>150</v>
      </c>
      <c r="N37" s="273">
        <f t="shared" si="185"/>
        <v>0</v>
      </c>
      <c r="O37" s="273"/>
      <c r="P37" s="273"/>
      <c r="Q37" s="273">
        <f t="shared" si="186"/>
        <v>150</v>
      </c>
      <c r="R37" s="273">
        <v>150</v>
      </c>
      <c r="S37" s="273"/>
      <c r="T37" s="273">
        <f t="shared" si="187"/>
        <v>475</v>
      </c>
      <c r="U37" s="273">
        <f t="shared" si="188"/>
        <v>0</v>
      </c>
      <c r="V37" s="273"/>
      <c r="W37" s="273"/>
      <c r="X37" s="273">
        <f t="shared" si="189"/>
        <v>475</v>
      </c>
      <c r="Y37" s="273">
        <v>475</v>
      </c>
      <c r="Z37" s="273"/>
      <c r="AA37" s="273">
        <f t="shared" ref="AA37:AA47" si="199">AB37+AC37</f>
        <v>173.980999</v>
      </c>
      <c r="AB37" s="273">
        <f t="shared" si="47"/>
        <v>0</v>
      </c>
      <c r="AC37" s="273">
        <f t="shared" si="48"/>
        <v>173.980999</v>
      </c>
      <c r="AD37" s="273">
        <f t="shared" si="190"/>
        <v>0</v>
      </c>
      <c r="AE37" s="273">
        <f t="shared" si="191"/>
        <v>0</v>
      </c>
      <c r="AF37" s="273"/>
      <c r="AG37" s="273"/>
      <c r="AH37" s="273">
        <f t="shared" si="192"/>
        <v>0</v>
      </c>
      <c r="AI37" s="273"/>
      <c r="AJ37" s="273"/>
      <c r="AK37" s="273">
        <f t="shared" si="193"/>
        <v>110.480999</v>
      </c>
      <c r="AL37" s="273">
        <f t="shared" si="194"/>
        <v>0</v>
      </c>
      <c r="AM37" s="273"/>
      <c r="AN37" s="273"/>
      <c r="AO37" s="273">
        <f t="shared" si="195"/>
        <v>110.480999</v>
      </c>
      <c r="AP37" s="273">
        <v>110.480999</v>
      </c>
      <c r="AQ37" s="273"/>
      <c r="AR37" s="273">
        <f t="shared" si="196"/>
        <v>63.5</v>
      </c>
      <c r="AS37" s="273">
        <f t="shared" si="197"/>
        <v>0</v>
      </c>
      <c r="AT37" s="273"/>
      <c r="AU37" s="273"/>
      <c r="AV37" s="273">
        <f t="shared" si="198"/>
        <v>63.5</v>
      </c>
      <c r="AW37" s="273">
        <v>63.5</v>
      </c>
      <c r="AX37" s="273"/>
      <c r="AY37" s="274">
        <f t="shared" si="55"/>
        <v>0.22594934935064934</v>
      </c>
      <c r="AZ37" s="274"/>
      <c r="BA37" s="274">
        <f t="shared" si="57"/>
        <v>0.22594934935064934</v>
      </c>
      <c r="BB37" s="274">
        <f t="shared" si="60"/>
        <v>0</v>
      </c>
      <c r="BC37" s="274"/>
      <c r="BD37" s="274"/>
      <c r="BE37" s="274"/>
      <c r="BF37" s="274">
        <f t="shared" si="61"/>
        <v>0</v>
      </c>
      <c r="BG37" s="274">
        <f t="shared" si="62"/>
        <v>0</v>
      </c>
      <c r="BH37" s="274"/>
      <c r="BI37" s="274">
        <f t="shared" si="63"/>
        <v>0.73653999333333331</v>
      </c>
      <c r="BJ37" s="274"/>
      <c r="BK37" s="274"/>
      <c r="BL37" s="274"/>
      <c r="BM37" s="274">
        <f t="shared" si="176"/>
        <v>0.73653999333333331</v>
      </c>
      <c r="BN37" s="274">
        <f t="shared" si="177"/>
        <v>0.73653999333333331</v>
      </c>
      <c r="BO37" s="274"/>
      <c r="BP37" s="274">
        <f t="shared" si="64"/>
        <v>0.13368421052631579</v>
      </c>
      <c r="BQ37" s="274"/>
      <c r="BR37" s="274"/>
      <c r="BS37" s="274"/>
      <c r="BT37" s="274">
        <f t="shared" si="65"/>
        <v>0.13368421052631579</v>
      </c>
      <c r="BU37" s="274">
        <f t="shared" si="66"/>
        <v>0.13368421052631579</v>
      </c>
      <c r="BV37" s="275"/>
    </row>
    <row r="38" spans="1:74" ht="21.95" customHeight="1">
      <c r="A38" s="271" t="s">
        <v>27</v>
      </c>
      <c r="B38" s="272" t="s">
        <v>502</v>
      </c>
      <c r="C38" s="273">
        <f t="shared" si="178"/>
        <v>712</v>
      </c>
      <c r="D38" s="273">
        <f t="shared" si="179"/>
        <v>0</v>
      </c>
      <c r="E38" s="273">
        <f t="shared" si="180"/>
        <v>712</v>
      </c>
      <c r="F38" s="273">
        <f t="shared" si="181"/>
        <v>145</v>
      </c>
      <c r="G38" s="273">
        <f t="shared" si="182"/>
        <v>0</v>
      </c>
      <c r="H38" s="273"/>
      <c r="I38" s="273"/>
      <c r="J38" s="273">
        <f t="shared" si="183"/>
        <v>145</v>
      </c>
      <c r="K38" s="273">
        <v>145</v>
      </c>
      <c r="L38" s="273"/>
      <c r="M38" s="273">
        <f t="shared" si="184"/>
        <v>150</v>
      </c>
      <c r="N38" s="273">
        <f t="shared" si="185"/>
        <v>0</v>
      </c>
      <c r="O38" s="273"/>
      <c r="P38" s="273"/>
      <c r="Q38" s="273">
        <f t="shared" si="186"/>
        <v>150</v>
      </c>
      <c r="R38" s="273">
        <v>150</v>
      </c>
      <c r="S38" s="273"/>
      <c r="T38" s="273">
        <f t="shared" si="187"/>
        <v>417</v>
      </c>
      <c r="U38" s="273">
        <f t="shared" si="188"/>
        <v>0</v>
      </c>
      <c r="V38" s="273"/>
      <c r="W38" s="273"/>
      <c r="X38" s="273">
        <f t="shared" si="189"/>
        <v>417</v>
      </c>
      <c r="Y38" s="273">
        <v>417</v>
      </c>
      <c r="Z38" s="273"/>
      <c r="AA38" s="273">
        <f t="shared" si="199"/>
        <v>244.785786</v>
      </c>
      <c r="AB38" s="273">
        <f t="shared" si="47"/>
        <v>0</v>
      </c>
      <c r="AC38" s="273">
        <f t="shared" si="48"/>
        <v>244.785786</v>
      </c>
      <c r="AD38" s="273">
        <f t="shared" si="190"/>
        <v>0</v>
      </c>
      <c r="AE38" s="273">
        <f t="shared" si="191"/>
        <v>0</v>
      </c>
      <c r="AF38" s="273"/>
      <c r="AG38" s="273"/>
      <c r="AH38" s="273">
        <f t="shared" si="192"/>
        <v>0</v>
      </c>
      <c r="AI38" s="273"/>
      <c r="AJ38" s="273"/>
      <c r="AK38" s="273">
        <f t="shared" si="193"/>
        <v>141.785786</v>
      </c>
      <c r="AL38" s="273">
        <f t="shared" si="194"/>
        <v>0</v>
      </c>
      <c r="AM38" s="273"/>
      <c r="AN38" s="273"/>
      <c r="AO38" s="273">
        <f t="shared" si="195"/>
        <v>141.785786</v>
      </c>
      <c r="AP38" s="273">
        <v>141.785786</v>
      </c>
      <c r="AQ38" s="273"/>
      <c r="AR38" s="273">
        <f t="shared" si="196"/>
        <v>103</v>
      </c>
      <c r="AS38" s="273">
        <f t="shared" si="197"/>
        <v>0</v>
      </c>
      <c r="AT38" s="273"/>
      <c r="AU38" s="273"/>
      <c r="AV38" s="273">
        <f t="shared" si="198"/>
        <v>103</v>
      </c>
      <c r="AW38" s="273">
        <v>103</v>
      </c>
      <c r="AX38" s="273"/>
      <c r="AY38" s="274">
        <f t="shared" si="55"/>
        <v>0.34380026123595508</v>
      </c>
      <c r="AZ38" s="274"/>
      <c r="BA38" s="274">
        <f t="shared" si="57"/>
        <v>0.34380026123595508</v>
      </c>
      <c r="BB38" s="274">
        <f t="shared" si="60"/>
        <v>0</v>
      </c>
      <c r="BC38" s="274"/>
      <c r="BD38" s="274"/>
      <c r="BE38" s="274"/>
      <c r="BF38" s="274">
        <f t="shared" si="61"/>
        <v>0</v>
      </c>
      <c r="BG38" s="274">
        <f t="shared" si="62"/>
        <v>0</v>
      </c>
      <c r="BH38" s="274"/>
      <c r="BI38" s="274">
        <f t="shared" si="63"/>
        <v>0.94523857333333339</v>
      </c>
      <c r="BJ38" s="274"/>
      <c r="BK38" s="274"/>
      <c r="BL38" s="274"/>
      <c r="BM38" s="274">
        <f t="shared" si="176"/>
        <v>0.94523857333333339</v>
      </c>
      <c r="BN38" s="274">
        <f t="shared" si="177"/>
        <v>0.94523857333333339</v>
      </c>
      <c r="BO38" s="274"/>
      <c r="BP38" s="274">
        <f t="shared" si="64"/>
        <v>0.24700239808153476</v>
      </c>
      <c r="BQ38" s="274"/>
      <c r="BR38" s="274"/>
      <c r="BS38" s="274"/>
      <c r="BT38" s="274">
        <f t="shared" si="65"/>
        <v>0.24700239808153476</v>
      </c>
      <c r="BU38" s="274">
        <f t="shared" si="66"/>
        <v>0.24700239808153476</v>
      </c>
      <c r="BV38" s="275"/>
    </row>
    <row r="39" spans="1:74" ht="21.95" customHeight="1">
      <c r="A39" s="271" t="s">
        <v>28</v>
      </c>
      <c r="B39" s="272" t="s">
        <v>503</v>
      </c>
      <c r="C39" s="273">
        <f t="shared" si="178"/>
        <v>354</v>
      </c>
      <c r="D39" s="273">
        <f t="shared" si="179"/>
        <v>0</v>
      </c>
      <c r="E39" s="273">
        <f t="shared" si="180"/>
        <v>354</v>
      </c>
      <c r="F39" s="273">
        <f t="shared" si="181"/>
        <v>149</v>
      </c>
      <c r="G39" s="273">
        <f t="shared" si="182"/>
        <v>0</v>
      </c>
      <c r="H39" s="273"/>
      <c r="I39" s="273"/>
      <c r="J39" s="273">
        <f t="shared" si="183"/>
        <v>149</v>
      </c>
      <c r="K39" s="273">
        <v>149</v>
      </c>
      <c r="L39" s="273"/>
      <c r="M39" s="273">
        <f t="shared" si="184"/>
        <v>150</v>
      </c>
      <c r="N39" s="273">
        <f t="shared" si="185"/>
        <v>0</v>
      </c>
      <c r="O39" s="273"/>
      <c r="P39" s="273"/>
      <c r="Q39" s="273">
        <f t="shared" si="186"/>
        <v>150</v>
      </c>
      <c r="R39" s="273">
        <v>150</v>
      </c>
      <c r="S39" s="273"/>
      <c r="T39" s="273">
        <f t="shared" si="187"/>
        <v>55</v>
      </c>
      <c r="U39" s="273">
        <f t="shared" si="188"/>
        <v>0</v>
      </c>
      <c r="V39" s="273"/>
      <c r="W39" s="273"/>
      <c r="X39" s="273">
        <f t="shared" si="189"/>
        <v>55</v>
      </c>
      <c r="Y39" s="273">
        <v>55</v>
      </c>
      <c r="Z39" s="273"/>
      <c r="AA39" s="273">
        <f t="shared" si="199"/>
        <v>179.5</v>
      </c>
      <c r="AB39" s="273">
        <f t="shared" si="47"/>
        <v>0</v>
      </c>
      <c r="AC39" s="273">
        <f t="shared" si="48"/>
        <v>179.5</v>
      </c>
      <c r="AD39" s="273">
        <f t="shared" si="190"/>
        <v>109.5</v>
      </c>
      <c r="AE39" s="273">
        <f t="shared" si="191"/>
        <v>0</v>
      </c>
      <c r="AF39" s="273"/>
      <c r="AG39" s="273"/>
      <c r="AH39" s="273">
        <f t="shared" si="192"/>
        <v>109.5</v>
      </c>
      <c r="AI39" s="273">
        <v>109.5</v>
      </c>
      <c r="AJ39" s="273"/>
      <c r="AK39" s="273">
        <f t="shared" si="193"/>
        <v>70</v>
      </c>
      <c r="AL39" s="273">
        <f t="shared" si="194"/>
        <v>0</v>
      </c>
      <c r="AM39" s="273"/>
      <c r="AN39" s="273"/>
      <c r="AO39" s="273">
        <f t="shared" si="195"/>
        <v>70</v>
      </c>
      <c r="AP39" s="273">
        <v>70</v>
      </c>
      <c r="AQ39" s="273"/>
      <c r="AR39" s="273">
        <f t="shared" si="196"/>
        <v>0</v>
      </c>
      <c r="AS39" s="273">
        <f t="shared" si="197"/>
        <v>0</v>
      </c>
      <c r="AT39" s="273"/>
      <c r="AU39" s="273"/>
      <c r="AV39" s="273">
        <f t="shared" si="198"/>
        <v>0</v>
      </c>
      <c r="AW39" s="273"/>
      <c r="AX39" s="273"/>
      <c r="AY39" s="274">
        <f t="shared" si="55"/>
        <v>0.50706214689265539</v>
      </c>
      <c r="AZ39" s="274"/>
      <c r="BA39" s="274">
        <f t="shared" si="57"/>
        <v>0.50706214689265539</v>
      </c>
      <c r="BB39" s="274">
        <f t="shared" si="60"/>
        <v>0.7348993288590604</v>
      </c>
      <c r="BC39" s="274"/>
      <c r="BD39" s="274"/>
      <c r="BE39" s="274"/>
      <c r="BF39" s="274">
        <f t="shared" si="61"/>
        <v>0.7348993288590604</v>
      </c>
      <c r="BG39" s="274">
        <f t="shared" si="62"/>
        <v>0.7348993288590604</v>
      </c>
      <c r="BH39" s="274"/>
      <c r="BI39" s="274">
        <f t="shared" si="63"/>
        <v>0.46666666666666667</v>
      </c>
      <c r="BJ39" s="274"/>
      <c r="BK39" s="274"/>
      <c r="BL39" s="274"/>
      <c r="BM39" s="274">
        <f t="shared" si="176"/>
        <v>0.46666666666666667</v>
      </c>
      <c r="BN39" s="274">
        <f t="shared" si="177"/>
        <v>0.46666666666666667</v>
      </c>
      <c r="BO39" s="274"/>
      <c r="BP39" s="274">
        <f t="shared" si="64"/>
        <v>0</v>
      </c>
      <c r="BQ39" s="274"/>
      <c r="BR39" s="274"/>
      <c r="BS39" s="274"/>
      <c r="BT39" s="274">
        <f t="shared" si="65"/>
        <v>0</v>
      </c>
      <c r="BU39" s="274">
        <f t="shared" si="66"/>
        <v>0</v>
      </c>
      <c r="BV39" s="275"/>
    </row>
    <row r="40" spans="1:74" ht="21.95" customHeight="1">
      <c r="A40" s="271" t="s">
        <v>29</v>
      </c>
      <c r="B40" s="272" t="s">
        <v>504</v>
      </c>
      <c r="C40" s="273">
        <f t="shared" si="178"/>
        <v>2791</v>
      </c>
      <c r="D40" s="273">
        <f t="shared" si="179"/>
        <v>0</v>
      </c>
      <c r="E40" s="273">
        <f t="shared" si="180"/>
        <v>2791</v>
      </c>
      <c r="F40" s="273">
        <f t="shared" si="181"/>
        <v>205</v>
      </c>
      <c r="G40" s="273">
        <f t="shared" si="182"/>
        <v>0</v>
      </c>
      <c r="H40" s="273"/>
      <c r="I40" s="273"/>
      <c r="J40" s="273">
        <f t="shared" si="183"/>
        <v>205</v>
      </c>
      <c r="K40" s="273">
        <v>205</v>
      </c>
      <c r="L40" s="273"/>
      <c r="M40" s="273">
        <f t="shared" si="184"/>
        <v>100</v>
      </c>
      <c r="N40" s="273">
        <f t="shared" si="185"/>
        <v>0</v>
      </c>
      <c r="O40" s="273"/>
      <c r="P40" s="273"/>
      <c r="Q40" s="273">
        <f t="shared" si="186"/>
        <v>100</v>
      </c>
      <c r="R40" s="273">
        <v>100</v>
      </c>
      <c r="S40" s="273"/>
      <c r="T40" s="273">
        <f t="shared" si="187"/>
        <v>2486</v>
      </c>
      <c r="U40" s="273">
        <f t="shared" si="188"/>
        <v>0</v>
      </c>
      <c r="V40" s="273"/>
      <c r="W40" s="273"/>
      <c r="X40" s="273">
        <f t="shared" si="189"/>
        <v>2486</v>
      </c>
      <c r="Y40" s="273">
        <v>2486</v>
      </c>
      <c r="Z40" s="273"/>
      <c r="AA40" s="273">
        <f t="shared" si="199"/>
        <v>49.99</v>
      </c>
      <c r="AB40" s="273">
        <f t="shared" si="47"/>
        <v>0</v>
      </c>
      <c r="AC40" s="273">
        <f t="shared" si="48"/>
        <v>49.99</v>
      </c>
      <c r="AD40" s="273">
        <f t="shared" si="190"/>
        <v>0</v>
      </c>
      <c r="AE40" s="273">
        <f t="shared" si="191"/>
        <v>0</v>
      </c>
      <c r="AF40" s="273"/>
      <c r="AG40" s="273"/>
      <c r="AH40" s="273">
        <f t="shared" si="192"/>
        <v>0</v>
      </c>
      <c r="AI40" s="273"/>
      <c r="AJ40" s="273"/>
      <c r="AK40" s="273">
        <f t="shared" si="193"/>
        <v>49.99</v>
      </c>
      <c r="AL40" s="273">
        <f t="shared" si="194"/>
        <v>0</v>
      </c>
      <c r="AM40" s="273"/>
      <c r="AN40" s="273"/>
      <c r="AO40" s="273">
        <f t="shared" si="195"/>
        <v>49.99</v>
      </c>
      <c r="AP40" s="273">
        <v>49.99</v>
      </c>
      <c r="AQ40" s="273"/>
      <c r="AR40" s="273">
        <f t="shared" si="196"/>
        <v>0</v>
      </c>
      <c r="AS40" s="273">
        <f t="shared" si="197"/>
        <v>0</v>
      </c>
      <c r="AT40" s="273"/>
      <c r="AU40" s="273"/>
      <c r="AV40" s="273">
        <f t="shared" si="198"/>
        <v>0</v>
      </c>
      <c r="AW40" s="273"/>
      <c r="AX40" s="273"/>
      <c r="AY40" s="274">
        <f t="shared" si="55"/>
        <v>1.7911142959512721E-2</v>
      </c>
      <c r="AZ40" s="274"/>
      <c r="BA40" s="274">
        <f t="shared" si="57"/>
        <v>1.7911142959512721E-2</v>
      </c>
      <c r="BB40" s="274">
        <f t="shared" si="60"/>
        <v>0</v>
      </c>
      <c r="BC40" s="274"/>
      <c r="BD40" s="274"/>
      <c r="BE40" s="274"/>
      <c r="BF40" s="274">
        <f t="shared" si="61"/>
        <v>0</v>
      </c>
      <c r="BG40" s="274">
        <f t="shared" si="62"/>
        <v>0</v>
      </c>
      <c r="BH40" s="274"/>
      <c r="BI40" s="274">
        <f t="shared" si="63"/>
        <v>0.49990000000000001</v>
      </c>
      <c r="BJ40" s="274"/>
      <c r="BK40" s="274"/>
      <c r="BL40" s="274"/>
      <c r="BM40" s="274">
        <f t="shared" si="176"/>
        <v>0.49990000000000001</v>
      </c>
      <c r="BN40" s="274">
        <f t="shared" si="177"/>
        <v>0.49990000000000001</v>
      </c>
      <c r="BO40" s="274"/>
      <c r="BP40" s="274">
        <f t="shared" si="64"/>
        <v>0</v>
      </c>
      <c r="BQ40" s="274"/>
      <c r="BR40" s="274"/>
      <c r="BS40" s="274"/>
      <c r="BT40" s="274">
        <f t="shared" si="65"/>
        <v>0</v>
      </c>
      <c r="BU40" s="274">
        <f t="shared" si="66"/>
        <v>0</v>
      </c>
      <c r="BV40" s="275"/>
    </row>
    <row r="41" spans="1:74" ht="21.95" customHeight="1">
      <c r="A41" s="271" t="s">
        <v>30</v>
      </c>
      <c r="B41" s="272" t="s">
        <v>505</v>
      </c>
      <c r="C41" s="273">
        <f t="shared" si="178"/>
        <v>660</v>
      </c>
      <c r="D41" s="273">
        <f t="shared" si="179"/>
        <v>0</v>
      </c>
      <c r="E41" s="273">
        <f t="shared" si="180"/>
        <v>660</v>
      </c>
      <c r="F41" s="273">
        <f t="shared" si="181"/>
        <v>141</v>
      </c>
      <c r="G41" s="273">
        <f t="shared" si="182"/>
        <v>0</v>
      </c>
      <c r="H41" s="273"/>
      <c r="I41" s="273"/>
      <c r="J41" s="273">
        <f t="shared" si="183"/>
        <v>141</v>
      </c>
      <c r="K41" s="273">
        <v>141</v>
      </c>
      <c r="L41" s="273"/>
      <c r="M41" s="273">
        <f t="shared" si="184"/>
        <v>40</v>
      </c>
      <c r="N41" s="273">
        <f t="shared" si="185"/>
        <v>0</v>
      </c>
      <c r="O41" s="273"/>
      <c r="P41" s="273"/>
      <c r="Q41" s="273">
        <f t="shared" si="186"/>
        <v>40</v>
      </c>
      <c r="R41" s="273">
        <v>40</v>
      </c>
      <c r="S41" s="273"/>
      <c r="T41" s="273">
        <f t="shared" si="187"/>
        <v>479</v>
      </c>
      <c r="U41" s="273">
        <f t="shared" si="188"/>
        <v>0</v>
      </c>
      <c r="V41" s="273"/>
      <c r="W41" s="273"/>
      <c r="X41" s="273">
        <f t="shared" si="189"/>
        <v>479</v>
      </c>
      <c r="Y41" s="273">
        <v>479</v>
      </c>
      <c r="Z41" s="273"/>
      <c r="AA41" s="273">
        <f t="shared" si="199"/>
        <v>149</v>
      </c>
      <c r="AB41" s="273">
        <f t="shared" si="47"/>
        <v>0</v>
      </c>
      <c r="AC41" s="273">
        <f t="shared" si="48"/>
        <v>149</v>
      </c>
      <c r="AD41" s="273">
        <f t="shared" si="190"/>
        <v>0</v>
      </c>
      <c r="AE41" s="273">
        <f t="shared" si="191"/>
        <v>0</v>
      </c>
      <c r="AF41" s="273"/>
      <c r="AG41" s="273"/>
      <c r="AH41" s="273">
        <f t="shared" si="192"/>
        <v>0</v>
      </c>
      <c r="AI41" s="273"/>
      <c r="AJ41" s="273"/>
      <c r="AK41" s="273">
        <f t="shared" si="193"/>
        <v>40</v>
      </c>
      <c r="AL41" s="273">
        <f t="shared" si="194"/>
        <v>0</v>
      </c>
      <c r="AM41" s="273"/>
      <c r="AN41" s="273"/>
      <c r="AO41" s="273">
        <f t="shared" si="195"/>
        <v>40</v>
      </c>
      <c r="AP41" s="273">
        <v>40</v>
      </c>
      <c r="AQ41" s="273"/>
      <c r="AR41" s="273">
        <f t="shared" si="196"/>
        <v>109</v>
      </c>
      <c r="AS41" s="273">
        <f t="shared" si="197"/>
        <v>0</v>
      </c>
      <c r="AT41" s="273"/>
      <c r="AU41" s="273"/>
      <c r="AV41" s="273">
        <f t="shared" si="198"/>
        <v>109</v>
      </c>
      <c r="AW41" s="273">
        <v>109</v>
      </c>
      <c r="AX41" s="273"/>
      <c r="AY41" s="274">
        <f t="shared" si="55"/>
        <v>0.22575757575757577</v>
      </c>
      <c r="AZ41" s="274"/>
      <c r="BA41" s="274">
        <f t="shared" si="57"/>
        <v>0.22575757575757577</v>
      </c>
      <c r="BB41" s="274">
        <f t="shared" si="60"/>
        <v>0</v>
      </c>
      <c r="BC41" s="274"/>
      <c r="BD41" s="274"/>
      <c r="BE41" s="274"/>
      <c r="BF41" s="274">
        <f t="shared" si="61"/>
        <v>0</v>
      </c>
      <c r="BG41" s="274">
        <f t="shared" si="62"/>
        <v>0</v>
      </c>
      <c r="BH41" s="274"/>
      <c r="BI41" s="274">
        <f t="shared" si="63"/>
        <v>1</v>
      </c>
      <c r="BJ41" s="274"/>
      <c r="BK41" s="274"/>
      <c r="BL41" s="274"/>
      <c r="BM41" s="274">
        <f t="shared" si="176"/>
        <v>1</v>
      </c>
      <c r="BN41" s="274">
        <f>AP41/R41</f>
        <v>1</v>
      </c>
      <c r="BO41" s="274"/>
      <c r="BP41" s="274">
        <f t="shared" si="64"/>
        <v>0.22755741127348644</v>
      </c>
      <c r="BQ41" s="274"/>
      <c r="BR41" s="274"/>
      <c r="BS41" s="274"/>
      <c r="BT41" s="274">
        <f t="shared" si="65"/>
        <v>0.22755741127348644</v>
      </c>
      <c r="BU41" s="274">
        <f t="shared" si="66"/>
        <v>0.22755741127348644</v>
      </c>
      <c r="BV41" s="275"/>
    </row>
    <row r="42" spans="1:74" ht="21.95" customHeight="1">
      <c r="A42" s="271" t="s">
        <v>31</v>
      </c>
      <c r="B42" s="272" t="s">
        <v>506</v>
      </c>
      <c r="C42" s="273">
        <f t="shared" si="178"/>
        <v>797</v>
      </c>
      <c r="D42" s="273">
        <f t="shared" si="179"/>
        <v>0</v>
      </c>
      <c r="E42" s="273">
        <f t="shared" si="180"/>
        <v>797</v>
      </c>
      <c r="F42" s="273">
        <f t="shared" si="181"/>
        <v>140</v>
      </c>
      <c r="G42" s="273">
        <f t="shared" si="182"/>
        <v>0</v>
      </c>
      <c r="H42" s="273"/>
      <c r="I42" s="273"/>
      <c r="J42" s="273">
        <f t="shared" si="183"/>
        <v>140</v>
      </c>
      <c r="K42" s="273">
        <v>140</v>
      </c>
      <c r="L42" s="273"/>
      <c r="M42" s="273">
        <f t="shared" si="184"/>
        <v>40</v>
      </c>
      <c r="N42" s="273">
        <f t="shared" si="185"/>
        <v>0</v>
      </c>
      <c r="O42" s="273"/>
      <c r="P42" s="273"/>
      <c r="Q42" s="273">
        <f t="shared" si="186"/>
        <v>40</v>
      </c>
      <c r="R42" s="273">
        <v>40</v>
      </c>
      <c r="S42" s="273"/>
      <c r="T42" s="273">
        <f t="shared" si="187"/>
        <v>617</v>
      </c>
      <c r="U42" s="273">
        <f t="shared" si="188"/>
        <v>0</v>
      </c>
      <c r="V42" s="273"/>
      <c r="W42" s="273"/>
      <c r="X42" s="273">
        <f t="shared" si="189"/>
        <v>617</v>
      </c>
      <c r="Y42" s="273">
        <v>617</v>
      </c>
      <c r="Z42" s="273"/>
      <c r="AA42" s="273">
        <f t="shared" si="199"/>
        <v>176.2</v>
      </c>
      <c r="AB42" s="273">
        <f t="shared" si="47"/>
        <v>0</v>
      </c>
      <c r="AC42" s="273">
        <f t="shared" si="48"/>
        <v>176.2</v>
      </c>
      <c r="AD42" s="273">
        <f t="shared" si="190"/>
        <v>13.2</v>
      </c>
      <c r="AE42" s="273">
        <f t="shared" si="191"/>
        <v>0</v>
      </c>
      <c r="AF42" s="273"/>
      <c r="AG42" s="273"/>
      <c r="AH42" s="273">
        <f t="shared" si="192"/>
        <v>13.2</v>
      </c>
      <c r="AI42" s="273">
        <v>13.2</v>
      </c>
      <c r="AJ42" s="273"/>
      <c r="AK42" s="273">
        <f t="shared" si="193"/>
        <v>40</v>
      </c>
      <c r="AL42" s="273">
        <f t="shared" si="194"/>
        <v>0</v>
      </c>
      <c r="AM42" s="273"/>
      <c r="AN42" s="273"/>
      <c r="AO42" s="273">
        <f t="shared" si="195"/>
        <v>40</v>
      </c>
      <c r="AP42" s="273">
        <v>40</v>
      </c>
      <c r="AQ42" s="273"/>
      <c r="AR42" s="273">
        <f t="shared" si="196"/>
        <v>123</v>
      </c>
      <c r="AS42" s="273">
        <f t="shared" si="197"/>
        <v>0</v>
      </c>
      <c r="AT42" s="273"/>
      <c r="AU42" s="273"/>
      <c r="AV42" s="273">
        <f t="shared" si="198"/>
        <v>123</v>
      </c>
      <c r="AW42" s="273">
        <v>123</v>
      </c>
      <c r="AX42" s="273"/>
      <c r="AY42" s="274">
        <f t="shared" si="55"/>
        <v>0.22107904642409032</v>
      </c>
      <c r="AZ42" s="274"/>
      <c r="BA42" s="274">
        <f t="shared" si="57"/>
        <v>0.22107904642409032</v>
      </c>
      <c r="BB42" s="274">
        <f t="shared" si="60"/>
        <v>9.4285714285714278E-2</v>
      </c>
      <c r="BC42" s="274"/>
      <c r="BD42" s="274"/>
      <c r="BE42" s="274"/>
      <c r="BF42" s="274">
        <f t="shared" si="61"/>
        <v>9.4285714285714278E-2</v>
      </c>
      <c r="BG42" s="274">
        <f t="shared" si="62"/>
        <v>9.4285714285714278E-2</v>
      </c>
      <c r="BH42" s="274"/>
      <c r="BI42" s="274">
        <f t="shared" si="63"/>
        <v>1</v>
      </c>
      <c r="BJ42" s="274"/>
      <c r="BK42" s="274"/>
      <c r="BL42" s="274"/>
      <c r="BM42" s="274">
        <f>AO42/Q42</f>
        <v>1</v>
      </c>
      <c r="BN42" s="274">
        <f t="shared" si="177"/>
        <v>1</v>
      </c>
      <c r="BO42" s="274"/>
      <c r="BP42" s="274">
        <f t="shared" si="64"/>
        <v>0.19935170178282011</v>
      </c>
      <c r="BQ42" s="274"/>
      <c r="BR42" s="274"/>
      <c r="BS42" s="274"/>
      <c r="BT42" s="274">
        <f t="shared" si="65"/>
        <v>0.19935170178282011</v>
      </c>
      <c r="BU42" s="274">
        <f t="shared" si="66"/>
        <v>0.19935170178282011</v>
      </c>
      <c r="BV42" s="275"/>
    </row>
    <row r="43" spans="1:74" ht="21.95" customHeight="1">
      <c r="A43" s="271" t="s">
        <v>32</v>
      </c>
      <c r="B43" s="272" t="s">
        <v>507</v>
      </c>
      <c r="C43" s="273">
        <f t="shared" si="178"/>
        <v>908</v>
      </c>
      <c r="D43" s="273">
        <f t="shared" si="179"/>
        <v>0</v>
      </c>
      <c r="E43" s="273">
        <f t="shared" si="180"/>
        <v>908</v>
      </c>
      <c r="F43" s="273">
        <f t="shared" si="181"/>
        <v>250</v>
      </c>
      <c r="G43" s="273">
        <f t="shared" si="182"/>
        <v>0</v>
      </c>
      <c r="H43" s="273"/>
      <c r="I43" s="273"/>
      <c r="J43" s="273">
        <f t="shared" si="183"/>
        <v>250</v>
      </c>
      <c r="K43" s="273">
        <v>250</v>
      </c>
      <c r="L43" s="273"/>
      <c r="M43" s="273">
        <f t="shared" si="184"/>
        <v>40</v>
      </c>
      <c r="N43" s="273">
        <f t="shared" si="185"/>
        <v>0</v>
      </c>
      <c r="O43" s="273"/>
      <c r="P43" s="273"/>
      <c r="Q43" s="273">
        <f t="shared" si="186"/>
        <v>40</v>
      </c>
      <c r="R43" s="273">
        <v>40</v>
      </c>
      <c r="S43" s="273"/>
      <c r="T43" s="273">
        <f t="shared" si="187"/>
        <v>618</v>
      </c>
      <c r="U43" s="273">
        <f t="shared" si="188"/>
        <v>0</v>
      </c>
      <c r="V43" s="273"/>
      <c r="W43" s="273"/>
      <c r="X43" s="273">
        <f t="shared" si="189"/>
        <v>618</v>
      </c>
      <c r="Y43" s="273">
        <v>618</v>
      </c>
      <c r="Z43" s="273"/>
      <c r="AA43" s="273">
        <f t="shared" si="199"/>
        <v>120.754</v>
      </c>
      <c r="AB43" s="273">
        <f t="shared" si="47"/>
        <v>0</v>
      </c>
      <c r="AC43" s="273">
        <f t="shared" si="48"/>
        <v>120.754</v>
      </c>
      <c r="AD43" s="273">
        <f t="shared" si="190"/>
        <v>0</v>
      </c>
      <c r="AE43" s="273">
        <f t="shared" si="191"/>
        <v>0</v>
      </c>
      <c r="AF43" s="273"/>
      <c r="AG43" s="273"/>
      <c r="AH43" s="273">
        <f t="shared" si="192"/>
        <v>0</v>
      </c>
      <c r="AI43" s="273"/>
      <c r="AJ43" s="273"/>
      <c r="AK43" s="273">
        <f t="shared" si="193"/>
        <v>10</v>
      </c>
      <c r="AL43" s="273">
        <f t="shared" si="194"/>
        <v>0</v>
      </c>
      <c r="AM43" s="273"/>
      <c r="AN43" s="273"/>
      <c r="AO43" s="273">
        <f t="shared" si="195"/>
        <v>10</v>
      </c>
      <c r="AP43" s="273">
        <v>10</v>
      </c>
      <c r="AQ43" s="273"/>
      <c r="AR43" s="273">
        <f t="shared" si="196"/>
        <v>110.754</v>
      </c>
      <c r="AS43" s="273">
        <f t="shared" si="197"/>
        <v>0</v>
      </c>
      <c r="AT43" s="273"/>
      <c r="AU43" s="273"/>
      <c r="AV43" s="273">
        <f t="shared" si="198"/>
        <v>110.754</v>
      </c>
      <c r="AW43" s="273">
        <v>110.754</v>
      </c>
      <c r="AX43" s="273"/>
      <c r="AY43" s="274">
        <f t="shared" si="55"/>
        <v>0.13298898678414098</v>
      </c>
      <c r="AZ43" s="274"/>
      <c r="BA43" s="274">
        <f t="shared" si="57"/>
        <v>0.13298898678414098</v>
      </c>
      <c r="BB43" s="274">
        <f t="shared" si="60"/>
        <v>0</v>
      </c>
      <c r="BC43" s="274"/>
      <c r="BD43" s="274"/>
      <c r="BE43" s="274"/>
      <c r="BF43" s="274">
        <f t="shared" si="61"/>
        <v>0</v>
      </c>
      <c r="BG43" s="274">
        <f t="shared" si="62"/>
        <v>0</v>
      </c>
      <c r="BH43" s="274"/>
      <c r="BI43" s="274">
        <f t="shared" si="63"/>
        <v>0.25</v>
      </c>
      <c r="BJ43" s="274"/>
      <c r="BK43" s="274"/>
      <c r="BL43" s="274"/>
      <c r="BM43" s="274">
        <f t="shared" si="176"/>
        <v>0.25</v>
      </c>
      <c r="BN43" s="274">
        <f t="shared" si="177"/>
        <v>0.25</v>
      </c>
      <c r="BO43" s="274"/>
      <c r="BP43" s="274">
        <f t="shared" si="64"/>
        <v>0.17921359223300973</v>
      </c>
      <c r="BQ43" s="274"/>
      <c r="BR43" s="274"/>
      <c r="BS43" s="274"/>
      <c r="BT43" s="274">
        <f t="shared" si="65"/>
        <v>0.17921359223300973</v>
      </c>
      <c r="BU43" s="274">
        <f t="shared" si="66"/>
        <v>0.17921359223300973</v>
      </c>
      <c r="BV43" s="275"/>
    </row>
    <row r="44" spans="1:74" ht="21.95" customHeight="1">
      <c r="A44" s="271" t="s">
        <v>33</v>
      </c>
      <c r="B44" s="272" t="s">
        <v>508</v>
      </c>
      <c r="C44" s="273">
        <f t="shared" si="178"/>
        <v>1715</v>
      </c>
      <c r="D44" s="273">
        <f t="shared" si="179"/>
        <v>0</v>
      </c>
      <c r="E44" s="273">
        <f t="shared" si="180"/>
        <v>1715</v>
      </c>
      <c r="F44" s="273">
        <f t="shared" si="181"/>
        <v>161</v>
      </c>
      <c r="G44" s="273">
        <f t="shared" si="182"/>
        <v>0</v>
      </c>
      <c r="H44" s="273"/>
      <c r="I44" s="273"/>
      <c r="J44" s="273">
        <f t="shared" si="183"/>
        <v>161</v>
      </c>
      <c r="K44" s="273">
        <v>161</v>
      </c>
      <c r="L44" s="273"/>
      <c r="M44" s="273">
        <f t="shared" si="184"/>
        <v>110</v>
      </c>
      <c r="N44" s="273">
        <f t="shared" si="185"/>
        <v>0</v>
      </c>
      <c r="O44" s="273"/>
      <c r="P44" s="273"/>
      <c r="Q44" s="273">
        <f t="shared" si="186"/>
        <v>110</v>
      </c>
      <c r="R44" s="273">
        <v>110</v>
      </c>
      <c r="S44" s="273"/>
      <c r="T44" s="273">
        <f t="shared" si="187"/>
        <v>1444</v>
      </c>
      <c r="U44" s="273">
        <f t="shared" si="188"/>
        <v>0</v>
      </c>
      <c r="V44" s="273"/>
      <c r="W44" s="273"/>
      <c r="X44" s="273">
        <f t="shared" si="189"/>
        <v>1444</v>
      </c>
      <c r="Y44" s="273">
        <v>1444</v>
      </c>
      <c r="Z44" s="273"/>
      <c r="AA44" s="273">
        <f t="shared" si="199"/>
        <v>198.79654399999998</v>
      </c>
      <c r="AB44" s="273">
        <f t="shared" si="47"/>
        <v>0</v>
      </c>
      <c r="AC44" s="273">
        <f t="shared" si="48"/>
        <v>198.79654399999998</v>
      </c>
      <c r="AD44" s="273">
        <f t="shared" si="190"/>
        <v>0</v>
      </c>
      <c r="AE44" s="273">
        <f t="shared" si="191"/>
        <v>0</v>
      </c>
      <c r="AF44" s="273"/>
      <c r="AG44" s="273"/>
      <c r="AH44" s="273">
        <f t="shared" si="192"/>
        <v>0</v>
      </c>
      <c r="AI44" s="273"/>
      <c r="AJ44" s="273"/>
      <c r="AK44" s="273">
        <f t="shared" si="193"/>
        <v>99.167582999999993</v>
      </c>
      <c r="AL44" s="273">
        <f t="shared" si="194"/>
        <v>0</v>
      </c>
      <c r="AM44" s="273"/>
      <c r="AN44" s="273"/>
      <c r="AO44" s="273">
        <f t="shared" si="195"/>
        <v>99.167582999999993</v>
      </c>
      <c r="AP44" s="273">
        <v>99.167582999999993</v>
      </c>
      <c r="AQ44" s="273"/>
      <c r="AR44" s="273">
        <f t="shared" si="196"/>
        <v>99.628961000000004</v>
      </c>
      <c r="AS44" s="273">
        <f t="shared" si="197"/>
        <v>0</v>
      </c>
      <c r="AT44" s="273"/>
      <c r="AU44" s="273"/>
      <c r="AV44" s="273">
        <f t="shared" si="198"/>
        <v>99.628961000000004</v>
      </c>
      <c r="AW44" s="273">
        <v>99.628961000000004</v>
      </c>
      <c r="AX44" s="273"/>
      <c r="AY44" s="274">
        <f t="shared" si="55"/>
        <v>0.11591635218658891</v>
      </c>
      <c r="AZ44" s="274"/>
      <c r="BA44" s="274">
        <f t="shared" si="57"/>
        <v>0.11591635218658891</v>
      </c>
      <c r="BB44" s="274">
        <f t="shared" si="60"/>
        <v>0</v>
      </c>
      <c r="BC44" s="274"/>
      <c r="BD44" s="274"/>
      <c r="BE44" s="274"/>
      <c r="BF44" s="274">
        <f t="shared" si="61"/>
        <v>0</v>
      </c>
      <c r="BG44" s="274">
        <f t="shared" si="62"/>
        <v>0</v>
      </c>
      <c r="BH44" s="274"/>
      <c r="BI44" s="274">
        <f t="shared" si="63"/>
        <v>0.90152348181818176</v>
      </c>
      <c r="BJ44" s="274"/>
      <c r="BK44" s="274"/>
      <c r="BL44" s="274"/>
      <c r="BM44" s="274">
        <f t="shared" si="176"/>
        <v>0.90152348181818176</v>
      </c>
      <c r="BN44" s="274">
        <f t="shared" si="177"/>
        <v>0.90152348181818176</v>
      </c>
      <c r="BO44" s="274"/>
      <c r="BP44" s="274">
        <f t="shared" si="64"/>
        <v>6.8995125346260386E-2</v>
      </c>
      <c r="BQ44" s="274"/>
      <c r="BR44" s="274"/>
      <c r="BS44" s="274"/>
      <c r="BT44" s="274">
        <f t="shared" si="65"/>
        <v>6.8995125346260386E-2</v>
      </c>
      <c r="BU44" s="274">
        <f t="shared" si="66"/>
        <v>6.8995125346260386E-2</v>
      </c>
      <c r="BV44" s="275"/>
    </row>
    <row r="45" spans="1:74" ht="21.95" customHeight="1">
      <c r="A45" s="271" t="s">
        <v>34</v>
      </c>
      <c r="B45" s="272" t="s">
        <v>509</v>
      </c>
      <c r="C45" s="273">
        <f t="shared" si="178"/>
        <v>1638</v>
      </c>
      <c r="D45" s="273">
        <f t="shared" si="179"/>
        <v>0</v>
      </c>
      <c r="E45" s="273">
        <f t="shared" si="180"/>
        <v>1638</v>
      </c>
      <c r="F45" s="273">
        <f t="shared" si="181"/>
        <v>169</v>
      </c>
      <c r="G45" s="273">
        <f t="shared" si="182"/>
        <v>0</v>
      </c>
      <c r="H45" s="273"/>
      <c r="I45" s="273"/>
      <c r="J45" s="273">
        <f t="shared" si="183"/>
        <v>169</v>
      </c>
      <c r="K45" s="273">
        <v>169</v>
      </c>
      <c r="L45" s="273"/>
      <c r="M45" s="273">
        <f t="shared" si="184"/>
        <v>40</v>
      </c>
      <c r="N45" s="273">
        <f t="shared" si="185"/>
        <v>0</v>
      </c>
      <c r="O45" s="273"/>
      <c r="P45" s="273"/>
      <c r="Q45" s="273">
        <f t="shared" si="186"/>
        <v>40</v>
      </c>
      <c r="R45" s="273">
        <v>40</v>
      </c>
      <c r="S45" s="273"/>
      <c r="T45" s="273">
        <f t="shared" si="187"/>
        <v>1429</v>
      </c>
      <c r="U45" s="273">
        <f t="shared" si="188"/>
        <v>0</v>
      </c>
      <c r="V45" s="273"/>
      <c r="W45" s="273"/>
      <c r="X45" s="273">
        <f t="shared" si="189"/>
        <v>1429</v>
      </c>
      <c r="Y45" s="273">
        <v>1429</v>
      </c>
      <c r="Z45" s="273"/>
      <c r="AA45" s="273">
        <f t="shared" si="199"/>
        <v>136</v>
      </c>
      <c r="AB45" s="273">
        <f t="shared" si="47"/>
        <v>0</v>
      </c>
      <c r="AC45" s="273">
        <f t="shared" si="48"/>
        <v>136</v>
      </c>
      <c r="AD45" s="273">
        <f t="shared" si="190"/>
        <v>0</v>
      </c>
      <c r="AE45" s="273">
        <f t="shared" si="191"/>
        <v>0</v>
      </c>
      <c r="AF45" s="273"/>
      <c r="AG45" s="273"/>
      <c r="AH45" s="273">
        <f t="shared" si="192"/>
        <v>0</v>
      </c>
      <c r="AI45" s="273"/>
      <c r="AJ45" s="273"/>
      <c r="AK45" s="273">
        <f t="shared" si="193"/>
        <v>30</v>
      </c>
      <c r="AL45" s="273">
        <f t="shared" si="194"/>
        <v>0</v>
      </c>
      <c r="AM45" s="273"/>
      <c r="AN45" s="273"/>
      <c r="AO45" s="273">
        <f t="shared" si="195"/>
        <v>30</v>
      </c>
      <c r="AP45" s="273">
        <v>30</v>
      </c>
      <c r="AQ45" s="273"/>
      <c r="AR45" s="273">
        <f t="shared" si="196"/>
        <v>106</v>
      </c>
      <c r="AS45" s="273">
        <f t="shared" si="197"/>
        <v>0</v>
      </c>
      <c r="AT45" s="273"/>
      <c r="AU45" s="273"/>
      <c r="AV45" s="273">
        <f t="shared" si="198"/>
        <v>106</v>
      </c>
      <c r="AW45" s="273">
        <v>106</v>
      </c>
      <c r="AX45" s="273"/>
      <c r="AY45" s="274">
        <f t="shared" si="55"/>
        <v>8.3028083028083025E-2</v>
      </c>
      <c r="AZ45" s="274"/>
      <c r="BA45" s="274">
        <f t="shared" si="57"/>
        <v>8.3028083028083025E-2</v>
      </c>
      <c r="BB45" s="274">
        <f t="shared" si="60"/>
        <v>0</v>
      </c>
      <c r="BC45" s="274"/>
      <c r="BD45" s="274"/>
      <c r="BE45" s="274"/>
      <c r="BF45" s="274">
        <f t="shared" si="61"/>
        <v>0</v>
      </c>
      <c r="BG45" s="274">
        <f t="shared" si="62"/>
        <v>0</v>
      </c>
      <c r="BH45" s="274"/>
      <c r="BI45" s="274">
        <f t="shared" si="63"/>
        <v>0.75</v>
      </c>
      <c r="BJ45" s="274"/>
      <c r="BK45" s="274"/>
      <c r="BL45" s="274"/>
      <c r="BM45" s="274">
        <f t="shared" si="176"/>
        <v>0.75</v>
      </c>
      <c r="BN45" s="274">
        <f t="shared" si="177"/>
        <v>0.75</v>
      </c>
      <c r="BO45" s="274"/>
      <c r="BP45" s="274">
        <f t="shared" si="64"/>
        <v>7.4177746675997205E-2</v>
      </c>
      <c r="BQ45" s="274"/>
      <c r="BR45" s="274"/>
      <c r="BS45" s="274"/>
      <c r="BT45" s="274">
        <f t="shared" si="65"/>
        <v>7.4177746675997205E-2</v>
      </c>
      <c r="BU45" s="274">
        <f t="shared" si="66"/>
        <v>7.4177746675997205E-2</v>
      </c>
      <c r="BV45" s="275"/>
    </row>
    <row r="46" spans="1:74" ht="21.95" customHeight="1">
      <c r="A46" s="271" t="s">
        <v>35</v>
      </c>
      <c r="B46" s="272" t="s">
        <v>510</v>
      </c>
      <c r="C46" s="273">
        <f t="shared" si="178"/>
        <v>1333</v>
      </c>
      <c r="D46" s="273">
        <f t="shared" si="179"/>
        <v>0</v>
      </c>
      <c r="E46" s="273">
        <f t="shared" si="180"/>
        <v>1333</v>
      </c>
      <c r="F46" s="273">
        <f t="shared" si="181"/>
        <v>277</v>
      </c>
      <c r="G46" s="273">
        <f t="shared" si="182"/>
        <v>0</v>
      </c>
      <c r="H46" s="273"/>
      <c r="I46" s="273"/>
      <c r="J46" s="273">
        <f t="shared" si="183"/>
        <v>277</v>
      </c>
      <c r="K46" s="273">
        <v>277</v>
      </c>
      <c r="L46" s="273"/>
      <c r="M46" s="273">
        <f t="shared" si="184"/>
        <v>100</v>
      </c>
      <c r="N46" s="273">
        <f t="shared" si="185"/>
        <v>0</v>
      </c>
      <c r="O46" s="273"/>
      <c r="P46" s="273"/>
      <c r="Q46" s="273">
        <f t="shared" si="186"/>
        <v>100</v>
      </c>
      <c r="R46" s="273">
        <v>100</v>
      </c>
      <c r="S46" s="273"/>
      <c r="T46" s="273">
        <f t="shared" si="187"/>
        <v>956</v>
      </c>
      <c r="U46" s="273">
        <f t="shared" si="188"/>
        <v>0</v>
      </c>
      <c r="V46" s="273"/>
      <c r="W46" s="273"/>
      <c r="X46" s="273">
        <f t="shared" si="189"/>
        <v>956</v>
      </c>
      <c r="Y46" s="273">
        <v>956</v>
      </c>
      <c r="Z46" s="273"/>
      <c r="AA46" s="273">
        <f t="shared" si="199"/>
        <v>219</v>
      </c>
      <c r="AB46" s="273">
        <f t="shared" si="47"/>
        <v>0</v>
      </c>
      <c r="AC46" s="273">
        <f t="shared" si="48"/>
        <v>219</v>
      </c>
      <c r="AD46" s="273">
        <f t="shared" si="190"/>
        <v>0</v>
      </c>
      <c r="AE46" s="273">
        <f t="shared" si="191"/>
        <v>0</v>
      </c>
      <c r="AF46" s="273"/>
      <c r="AG46" s="273"/>
      <c r="AH46" s="273">
        <f t="shared" si="192"/>
        <v>0</v>
      </c>
      <c r="AI46" s="273"/>
      <c r="AJ46" s="273"/>
      <c r="AK46" s="273">
        <f t="shared" si="193"/>
        <v>90</v>
      </c>
      <c r="AL46" s="273">
        <f t="shared" si="194"/>
        <v>0</v>
      </c>
      <c r="AM46" s="273"/>
      <c r="AN46" s="273"/>
      <c r="AO46" s="273">
        <f t="shared" si="195"/>
        <v>90</v>
      </c>
      <c r="AP46" s="273">
        <v>90</v>
      </c>
      <c r="AQ46" s="273"/>
      <c r="AR46" s="273">
        <f t="shared" si="196"/>
        <v>129</v>
      </c>
      <c r="AS46" s="273">
        <f t="shared" si="197"/>
        <v>0</v>
      </c>
      <c r="AT46" s="273"/>
      <c r="AU46" s="273"/>
      <c r="AV46" s="273">
        <f t="shared" si="198"/>
        <v>129</v>
      </c>
      <c r="AW46" s="273">
        <v>129</v>
      </c>
      <c r="AX46" s="273"/>
      <c r="AY46" s="274">
        <f t="shared" si="55"/>
        <v>0.16429107276819205</v>
      </c>
      <c r="AZ46" s="274"/>
      <c r="BA46" s="274">
        <f t="shared" si="57"/>
        <v>0.16429107276819205</v>
      </c>
      <c r="BB46" s="274">
        <f t="shared" si="60"/>
        <v>0</v>
      </c>
      <c r="BC46" s="274"/>
      <c r="BD46" s="274"/>
      <c r="BE46" s="274"/>
      <c r="BF46" s="274">
        <f t="shared" si="61"/>
        <v>0</v>
      </c>
      <c r="BG46" s="274">
        <f t="shared" si="62"/>
        <v>0</v>
      </c>
      <c r="BH46" s="274"/>
      <c r="BI46" s="274">
        <f t="shared" si="63"/>
        <v>0.9</v>
      </c>
      <c r="BJ46" s="274"/>
      <c r="BK46" s="274"/>
      <c r="BL46" s="274"/>
      <c r="BM46" s="274">
        <f t="shared" si="176"/>
        <v>0.9</v>
      </c>
      <c r="BN46" s="274">
        <f t="shared" si="177"/>
        <v>0.9</v>
      </c>
      <c r="BO46" s="274"/>
      <c r="BP46" s="274">
        <f t="shared" si="64"/>
        <v>0.13493723849372385</v>
      </c>
      <c r="BQ46" s="274"/>
      <c r="BR46" s="274"/>
      <c r="BS46" s="274"/>
      <c r="BT46" s="274">
        <f t="shared" si="65"/>
        <v>0.13493723849372385</v>
      </c>
      <c r="BU46" s="274">
        <f t="shared" si="66"/>
        <v>0.13493723849372385</v>
      </c>
      <c r="BV46" s="275"/>
    </row>
    <row r="47" spans="1:74" ht="21.95" customHeight="1">
      <c r="A47" s="271" t="s">
        <v>36</v>
      </c>
      <c r="B47" s="272" t="s">
        <v>511</v>
      </c>
      <c r="C47" s="273">
        <f t="shared" si="178"/>
        <v>1722</v>
      </c>
      <c r="D47" s="273">
        <f t="shared" si="179"/>
        <v>0</v>
      </c>
      <c r="E47" s="273">
        <f t="shared" si="180"/>
        <v>1722</v>
      </c>
      <c r="F47" s="273">
        <f t="shared" si="181"/>
        <v>276</v>
      </c>
      <c r="G47" s="273">
        <f t="shared" si="182"/>
        <v>0</v>
      </c>
      <c r="H47" s="273"/>
      <c r="I47" s="273"/>
      <c r="J47" s="273">
        <f t="shared" si="183"/>
        <v>276</v>
      </c>
      <c r="K47" s="273">
        <v>276</v>
      </c>
      <c r="L47" s="273"/>
      <c r="M47" s="273">
        <f t="shared" si="184"/>
        <v>100</v>
      </c>
      <c r="N47" s="273">
        <f t="shared" si="185"/>
        <v>0</v>
      </c>
      <c r="O47" s="273"/>
      <c r="P47" s="273"/>
      <c r="Q47" s="273">
        <f t="shared" si="186"/>
        <v>100</v>
      </c>
      <c r="R47" s="273">
        <v>100</v>
      </c>
      <c r="S47" s="273"/>
      <c r="T47" s="273">
        <f t="shared" si="187"/>
        <v>1346</v>
      </c>
      <c r="U47" s="273">
        <f t="shared" si="188"/>
        <v>0</v>
      </c>
      <c r="V47" s="273"/>
      <c r="W47" s="273"/>
      <c r="X47" s="273">
        <f t="shared" si="189"/>
        <v>1346</v>
      </c>
      <c r="Y47" s="273">
        <v>1346</v>
      </c>
      <c r="Z47" s="273"/>
      <c r="AA47" s="273">
        <f t="shared" si="199"/>
        <v>89.998000000000005</v>
      </c>
      <c r="AB47" s="273">
        <f t="shared" si="47"/>
        <v>0</v>
      </c>
      <c r="AC47" s="273">
        <f t="shared" si="48"/>
        <v>89.998000000000005</v>
      </c>
      <c r="AD47" s="273">
        <f t="shared" si="190"/>
        <v>0</v>
      </c>
      <c r="AE47" s="273">
        <f t="shared" si="191"/>
        <v>0</v>
      </c>
      <c r="AF47" s="273"/>
      <c r="AG47" s="273"/>
      <c r="AH47" s="273">
        <f t="shared" si="192"/>
        <v>0</v>
      </c>
      <c r="AI47" s="273"/>
      <c r="AJ47" s="273"/>
      <c r="AK47" s="273">
        <f t="shared" si="193"/>
        <v>89.998000000000005</v>
      </c>
      <c r="AL47" s="273">
        <f t="shared" si="194"/>
        <v>0</v>
      </c>
      <c r="AM47" s="273"/>
      <c r="AN47" s="273"/>
      <c r="AO47" s="273">
        <f t="shared" si="195"/>
        <v>89.998000000000005</v>
      </c>
      <c r="AP47" s="273">
        <v>89.998000000000005</v>
      </c>
      <c r="AQ47" s="273"/>
      <c r="AR47" s="273">
        <f t="shared" si="196"/>
        <v>0</v>
      </c>
      <c r="AS47" s="273">
        <f t="shared" si="197"/>
        <v>0</v>
      </c>
      <c r="AT47" s="273"/>
      <c r="AU47" s="273"/>
      <c r="AV47" s="273">
        <f t="shared" si="198"/>
        <v>0</v>
      </c>
      <c r="AW47" s="273"/>
      <c r="AX47" s="273"/>
      <c r="AY47" s="274">
        <f t="shared" si="55"/>
        <v>5.2263646922183507E-2</v>
      </c>
      <c r="AZ47" s="274"/>
      <c r="BA47" s="274">
        <f t="shared" si="57"/>
        <v>5.2263646922183507E-2</v>
      </c>
      <c r="BB47" s="274">
        <f t="shared" si="60"/>
        <v>0</v>
      </c>
      <c r="BC47" s="274"/>
      <c r="BD47" s="274"/>
      <c r="BE47" s="274"/>
      <c r="BF47" s="274">
        <f t="shared" si="61"/>
        <v>0</v>
      </c>
      <c r="BG47" s="274">
        <f t="shared" si="62"/>
        <v>0</v>
      </c>
      <c r="BH47" s="274"/>
      <c r="BI47" s="274">
        <f t="shared" si="63"/>
        <v>0.89998</v>
      </c>
      <c r="BJ47" s="274"/>
      <c r="BK47" s="274"/>
      <c r="BL47" s="274"/>
      <c r="BM47" s="274">
        <f t="shared" si="176"/>
        <v>0.89998</v>
      </c>
      <c r="BN47" s="274">
        <f t="shared" si="177"/>
        <v>0.89998</v>
      </c>
      <c r="BO47" s="274"/>
      <c r="BP47" s="274">
        <f t="shared" si="64"/>
        <v>0</v>
      </c>
      <c r="BQ47" s="274"/>
      <c r="BR47" s="274"/>
      <c r="BS47" s="274"/>
      <c r="BT47" s="274">
        <f t="shared" si="65"/>
        <v>0</v>
      </c>
      <c r="BU47" s="274">
        <f t="shared" si="66"/>
        <v>0</v>
      </c>
      <c r="BV47" s="275"/>
    </row>
    <row r="48" spans="1:74">
      <c r="A48" s="276"/>
      <c r="B48" s="277"/>
      <c r="C48" s="278"/>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9"/>
      <c r="AD48" s="278"/>
      <c r="AE48" s="278"/>
      <c r="AF48" s="278"/>
      <c r="AG48" s="278"/>
      <c r="AH48" s="278"/>
      <c r="AI48" s="278"/>
      <c r="AJ48" s="278"/>
      <c r="AK48" s="278"/>
      <c r="AL48" s="278"/>
      <c r="AM48" s="278"/>
      <c r="AN48" s="278"/>
      <c r="AO48" s="278"/>
      <c r="AP48" s="278"/>
      <c r="AQ48" s="278"/>
      <c r="AR48" s="278"/>
      <c r="AS48" s="278"/>
      <c r="AT48" s="278"/>
      <c r="AU48" s="278"/>
      <c r="AV48" s="278"/>
      <c r="AW48" s="278"/>
      <c r="AX48" s="278"/>
      <c r="AY48" s="280"/>
      <c r="AZ48" s="280"/>
      <c r="BA48" s="280"/>
      <c r="BB48" s="281"/>
      <c r="BC48" s="281"/>
      <c r="BD48" s="281"/>
      <c r="BE48" s="281"/>
      <c r="BF48" s="281"/>
      <c r="BG48" s="281"/>
      <c r="BH48" s="281"/>
      <c r="BI48" s="281"/>
      <c r="BJ48" s="281"/>
      <c r="BK48" s="281"/>
      <c r="BL48" s="281"/>
      <c r="BM48" s="281"/>
      <c r="BN48" s="281"/>
      <c r="BO48" s="281"/>
      <c r="BP48" s="281"/>
      <c r="BQ48" s="281"/>
      <c r="BR48" s="281"/>
      <c r="BS48" s="281"/>
      <c r="BT48" s="281"/>
      <c r="BU48" s="281"/>
      <c r="BV48" s="280"/>
    </row>
    <row r="49" spans="1:75">
      <c r="A49" s="402" t="s">
        <v>0</v>
      </c>
      <c r="B49" s="402"/>
      <c r="C49" s="402"/>
      <c r="D49" s="402"/>
      <c r="E49" s="402"/>
      <c r="F49" s="402"/>
      <c r="G49" s="402"/>
      <c r="H49" s="402"/>
      <c r="I49" s="402"/>
      <c r="J49" s="402"/>
      <c r="K49" s="402"/>
      <c r="L49" s="402"/>
      <c r="M49" s="402"/>
      <c r="N49" s="402"/>
      <c r="O49" s="402"/>
      <c r="P49" s="402"/>
      <c r="Q49" s="402"/>
      <c r="R49" s="402"/>
      <c r="S49" s="402"/>
      <c r="T49" s="402"/>
      <c r="U49" s="402"/>
      <c r="V49" s="402"/>
      <c r="W49" s="402"/>
      <c r="X49" s="402"/>
      <c r="Y49" s="402"/>
      <c r="Z49" s="402"/>
      <c r="AA49" s="402"/>
      <c r="AB49" s="402"/>
      <c r="AC49" s="402"/>
      <c r="AD49" s="402"/>
      <c r="AE49" s="402"/>
      <c r="AF49" s="402"/>
      <c r="AG49" s="402"/>
      <c r="AH49" s="402"/>
      <c r="AI49" s="402"/>
      <c r="AJ49" s="402"/>
      <c r="AK49" s="402"/>
      <c r="AL49" s="402"/>
      <c r="AM49" s="402"/>
      <c r="AN49" s="402"/>
      <c r="AO49" s="402"/>
      <c r="AP49" s="402"/>
      <c r="AQ49" s="402"/>
      <c r="AR49" s="402"/>
      <c r="AS49" s="402"/>
      <c r="AT49" s="402"/>
      <c r="AU49" s="402"/>
      <c r="AV49" s="402"/>
      <c r="AW49" s="402"/>
      <c r="AX49" s="402"/>
      <c r="AY49" s="402"/>
      <c r="AZ49" s="402"/>
      <c r="BA49" s="402"/>
      <c r="BB49" s="402"/>
      <c r="BC49" s="402"/>
      <c r="BD49" s="402"/>
      <c r="BE49" s="402"/>
      <c r="BF49" s="402"/>
      <c r="BG49" s="402"/>
      <c r="BH49" s="402"/>
      <c r="BI49" s="402"/>
      <c r="BJ49" s="402"/>
      <c r="BK49" s="402"/>
      <c r="BL49" s="402"/>
      <c r="BM49" s="402"/>
      <c r="BN49" s="402"/>
      <c r="BO49" s="402"/>
      <c r="BP49" s="402"/>
      <c r="BQ49" s="402"/>
      <c r="BR49" s="402"/>
      <c r="BS49" s="402"/>
      <c r="BT49" s="402"/>
      <c r="BU49" s="402"/>
      <c r="BV49" s="402"/>
      <c r="BW49" s="402"/>
    </row>
  </sheetData>
  <mergeCells count="102">
    <mergeCell ref="AY7:BA7"/>
    <mergeCell ref="BB7:BV7"/>
    <mergeCell ref="BS6:BV6"/>
    <mergeCell ref="AP10:AQ10"/>
    <mergeCell ref="BI3:BO3"/>
    <mergeCell ref="BI4:BO4"/>
    <mergeCell ref="BP3:BV3"/>
    <mergeCell ref="BP4:BV4"/>
    <mergeCell ref="BP8:BV8"/>
    <mergeCell ref="BP9:BP11"/>
    <mergeCell ref="BQ9:BS9"/>
    <mergeCell ref="BT9:BV9"/>
    <mergeCell ref="BQ10:BQ11"/>
    <mergeCell ref="BR10:BS10"/>
    <mergeCell ref="BT10:BT11"/>
    <mergeCell ref="BU10:BV10"/>
    <mergeCell ref="C8:C11"/>
    <mergeCell ref="AE9:AG9"/>
    <mergeCell ref="AH9:AJ9"/>
    <mergeCell ref="AK9:AK11"/>
    <mergeCell ref="AL9:AN9"/>
    <mergeCell ref="AM10:AN10"/>
    <mergeCell ref="D8:E8"/>
    <mergeCell ref="F8:L8"/>
    <mergeCell ref="M8:S8"/>
    <mergeCell ref="AH10:AH11"/>
    <mergeCell ref="AD8:AJ8"/>
    <mergeCell ref="T8:Z8"/>
    <mergeCell ref="T9:T11"/>
    <mergeCell ref="U9:W9"/>
    <mergeCell ref="BA9:BA11"/>
    <mergeCell ref="AL10:AL11"/>
    <mergeCell ref="AO9:AQ9"/>
    <mergeCell ref="AR8:AX8"/>
    <mergeCell ref="AA7:AJ7"/>
    <mergeCell ref="AD9:AD11"/>
    <mergeCell ref="E9:E11"/>
    <mergeCell ref="F9:F11"/>
    <mergeCell ref="M9:M11"/>
    <mergeCell ref="AB9:AB11"/>
    <mergeCell ref="R10:S10"/>
    <mergeCell ref="N9:P9"/>
    <mergeCell ref="AC9:AC11"/>
    <mergeCell ref="AI10:AJ10"/>
    <mergeCell ref="Q9:S9"/>
    <mergeCell ref="J9:L9"/>
    <mergeCell ref="AR9:AR11"/>
    <mergeCell ref="AS9:AU9"/>
    <mergeCell ref="AV9:AX9"/>
    <mergeCell ref="AS10:AS11"/>
    <mergeCell ref="AT10:AU10"/>
    <mergeCell ref="AV10:AV11"/>
    <mergeCell ref="AW10:AX10"/>
    <mergeCell ref="AK7:AX7"/>
    <mergeCell ref="A49:BW49"/>
    <mergeCell ref="BF10:BF11"/>
    <mergeCell ref="BG10:BH10"/>
    <mergeCell ref="BJ9:BL9"/>
    <mergeCell ref="BM9:BO9"/>
    <mergeCell ref="G10:G11"/>
    <mergeCell ref="H10:I10"/>
    <mergeCell ref="J10:J11"/>
    <mergeCell ref="K10:L10"/>
    <mergeCell ref="N10:N11"/>
    <mergeCell ref="O10:P10"/>
    <mergeCell ref="Q10:Q11"/>
    <mergeCell ref="A7:A11"/>
    <mergeCell ref="BM10:BM11"/>
    <mergeCell ref="G9:I9"/>
    <mergeCell ref="B7:B11"/>
    <mergeCell ref="AA8:AA11"/>
    <mergeCell ref="D9:D11"/>
    <mergeCell ref="AB8:AC8"/>
    <mergeCell ref="X9:Z9"/>
    <mergeCell ref="U10:U11"/>
    <mergeCell ref="V10:W10"/>
    <mergeCell ref="X10:X11"/>
    <mergeCell ref="Y10:Z10"/>
    <mergeCell ref="BI8:BO8"/>
    <mergeCell ref="BN10:BO10"/>
    <mergeCell ref="BJ10:BJ11"/>
    <mergeCell ref="BK10:BL10"/>
    <mergeCell ref="BI9:BI11"/>
    <mergeCell ref="C3:S3"/>
    <mergeCell ref="C4:S4"/>
    <mergeCell ref="AZ9:AZ11"/>
    <mergeCell ref="AO3:BH3"/>
    <mergeCell ref="AO4:BH4"/>
    <mergeCell ref="AO10:AO11"/>
    <mergeCell ref="AY8:AY11"/>
    <mergeCell ref="AZ8:BA8"/>
    <mergeCell ref="BB8:BH8"/>
    <mergeCell ref="AE10:AE11"/>
    <mergeCell ref="AF10:AG10"/>
    <mergeCell ref="BB9:BB11"/>
    <mergeCell ref="BC9:BE9"/>
    <mergeCell ref="BF9:BH9"/>
    <mergeCell ref="BC10:BC11"/>
    <mergeCell ref="BD10:BE10"/>
    <mergeCell ref="T7:Z7"/>
    <mergeCell ref="C7:S7"/>
    <mergeCell ref="AK8:AQ8"/>
  </mergeCells>
  <phoneticPr fontId="29" type="noConversion"/>
  <pageMargins left="0.52" right="0.16" top="0.61" bottom="0.44" header="0.2" footer="0.2"/>
  <pageSetup paperSize="9" scale="75" orientation="landscape" verticalDpi="0"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24</vt:i4>
      </vt:variant>
    </vt:vector>
  </HeadingPairs>
  <TitlesOfParts>
    <vt:vector size="33" baseType="lpstr">
      <vt:lpstr>48</vt:lpstr>
      <vt:lpstr>50</vt:lpstr>
      <vt:lpstr>51</vt:lpstr>
      <vt:lpstr>52</vt:lpstr>
      <vt:lpstr>53</vt:lpstr>
      <vt:lpstr>54</vt:lpstr>
      <vt:lpstr>58</vt:lpstr>
      <vt:lpstr>59</vt:lpstr>
      <vt:lpstr>61</vt:lpstr>
      <vt:lpstr>'58'!page\x2dtotal</vt:lpstr>
      <vt:lpstr>'59'!page\x2dtotal</vt:lpstr>
      <vt:lpstr>'61'!page\x2dtotal</vt:lpstr>
      <vt:lpstr>page\x2dtotal</vt:lpstr>
      <vt:lpstr>'58'!page\x2dtotal\x2dmaster0</vt:lpstr>
      <vt:lpstr>'59'!page\x2dtotal\x2dmaster0</vt:lpstr>
      <vt:lpstr>'61'!page\x2dtotal\x2dmaster0</vt:lpstr>
      <vt:lpstr>page\x2dtotal\x2dmaster0</vt:lpstr>
      <vt:lpstr>'48'!Print_Area</vt:lpstr>
      <vt:lpstr>'50'!Print_Area</vt:lpstr>
      <vt:lpstr>'51'!Print_Area</vt:lpstr>
      <vt:lpstr>'52'!Print_Area</vt:lpstr>
      <vt:lpstr>'53'!Print_Area</vt:lpstr>
      <vt:lpstr>'54'!Print_Area</vt:lpstr>
      <vt:lpstr>'58'!Print_Area</vt:lpstr>
      <vt:lpstr>'59'!Print_Area</vt:lpstr>
      <vt:lpstr>'61'!Print_Area</vt:lpstr>
      <vt:lpstr>'48'!Print_Titles</vt:lpstr>
      <vt:lpstr>'50'!Print_Titles</vt:lpstr>
      <vt:lpstr>'51'!Print_Titles</vt:lpstr>
      <vt:lpstr>'52'!Print_Titles</vt:lpstr>
      <vt:lpstr>'53'!Print_Titles</vt:lpstr>
      <vt:lpstr>'54'!Print_Titles</vt:lpstr>
      <vt:lpstr>'61'!Print_Titles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2020-04-10T09:01:29Z</dcterms:created>
  <dcterms:modified xsi:type="dcterms:W3CDTF">2023-07-03T03:42:41Z</dcterms:modified>
</cp:coreProperties>
</file>