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4240" windowHeight="13140" activeTab="8"/>
  </bookViews>
  <sheets>
    <sheet name="48" sheetId="10" r:id="rId1"/>
    <sheet name="50" sheetId="12" r:id="rId2"/>
    <sheet name="51" sheetId="1" r:id="rId3"/>
    <sheet name="52" sheetId="2" r:id="rId4"/>
    <sheet name="53" sheetId="3" r:id="rId5"/>
    <sheet name="54" sheetId="4" r:id="rId6"/>
    <sheet name="58" sheetId="7" r:id="rId7"/>
    <sheet name="59" sheetId="8" r:id="rId8"/>
    <sheet name="61" sheetId="9" r:id="rId9"/>
  </sheets>
  <externalReferences>
    <externalReference r:id="rId10"/>
  </externalReferences>
  <definedNames>
    <definedName name="_xlnm._FilterDatabase" localSheetId="4" hidden="1">'53'!$A$11:$K$82</definedName>
    <definedName name="_xlnm._FilterDatabase" localSheetId="5" hidden="1">'54'!$A$1:$Y$113</definedName>
    <definedName name="ADP">#REF!</definedName>
    <definedName name="AKHAC">#REF!</definedName>
    <definedName name="ALTINH">#REF!</definedName>
    <definedName name="Anguon" localSheetId="0">'[1]Dt 2001'!#REF!</definedName>
    <definedName name="Anguon">'[1]Dt 2001'!#REF!</definedName>
    <definedName name="ANN">#REF!</definedName>
    <definedName name="ANQD">#REF!</definedName>
    <definedName name="ANQQH" localSheetId="0">'[1]Dt 2001'!#REF!</definedName>
    <definedName name="ANQQH">'[1]Dt 2001'!#REF!</definedName>
    <definedName name="ANSNN" localSheetId="0">'[1]Dt 2001'!#REF!</definedName>
    <definedName name="ANSNN">'[1]Dt 2001'!#REF!</definedName>
    <definedName name="ANSNNxnk" localSheetId="0">'[1]Dt 2001'!#REF!</definedName>
    <definedName name="ANSNNxnk">'[1]Dt 2001'!#REF!</definedName>
    <definedName name="APC" localSheetId="0">'[1]Dt 2001'!#REF!</definedName>
    <definedName name="APC">'[1]Dt 2001'!#REF!</definedName>
    <definedName name="ATW">#REF!</definedName>
    <definedName name="Can_doi">#REF!</definedName>
    <definedName name="DNNN">#REF!</definedName>
    <definedName name="Khac">#REF!</definedName>
    <definedName name="Khong_can_doi">#REF!</definedName>
    <definedName name="NQD">#REF!</definedName>
    <definedName name="NQQH" localSheetId="0">'[1]Dt 2001'!#REF!</definedName>
    <definedName name="NQQH">'[1]Dt 2001'!#REF!</definedName>
    <definedName name="NSNN" localSheetId="0">'[1]Dt 2001'!#REF!</definedName>
    <definedName name="NSNN">'[1]Dt 2001'!#REF!</definedName>
    <definedName name="page\x2dtotal" localSheetId="6">'58'!$A$27</definedName>
    <definedName name="page\x2dtotal" localSheetId="7">'59'!$A$26</definedName>
    <definedName name="page\x2dtotal" localSheetId="8">'61'!$A$22</definedName>
    <definedName name="page\x2dtotal">'54'!$A$120</definedName>
    <definedName name="page\x2dtotal\x2dmaster0" localSheetId="6">'58'!$A$27</definedName>
    <definedName name="page\x2dtotal\x2dmaster0" localSheetId="7">'59'!$A$26</definedName>
    <definedName name="page\x2dtotal\x2dmaster0" localSheetId="8">'61'!$A$22</definedName>
    <definedName name="page\x2dtotal\x2dmaster0">'54'!$A$120</definedName>
    <definedName name="PC" localSheetId="0">'[1]Dt 2001'!#REF!</definedName>
    <definedName name="PC">'[1]Dt 2001'!#REF!</definedName>
    <definedName name="Phan_cap">#REF!</definedName>
    <definedName name="Phi_le_phi">#REF!</definedName>
    <definedName name="_xlnm.Print_Area" localSheetId="0">'48'!$A$1:$F$44</definedName>
    <definedName name="_xlnm.Print_Area" localSheetId="1">'50'!$A$1:$H$67</definedName>
    <definedName name="_xlnm.Print_Area" localSheetId="2">'51'!$A$1:$E$104</definedName>
    <definedName name="_xlnm.Print_Area" localSheetId="3">'52'!$A$1:$F$50</definedName>
    <definedName name="_xlnm.Print_Area" localSheetId="4">'53'!$A$1:$K$81</definedName>
    <definedName name="_xlnm.Print_Area" localSheetId="5">'54'!$A$1:$Y$117</definedName>
    <definedName name="_xlnm.Print_Area" localSheetId="6">'58'!$A$1:$U$25</definedName>
    <definedName name="_xlnm.Print_Area" localSheetId="7">'59'!$A$1:$Z$24</definedName>
    <definedName name="_xlnm.Print_Area" localSheetId="8">'61'!$A$1:$BA$21</definedName>
    <definedName name="_xlnm.Print_Area">#REF!</definedName>
    <definedName name="PRINT_AREA_MI" localSheetId="0">#REF!</definedName>
    <definedName name="PRINT_AREA_MI">#REF!</definedName>
    <definedName name="_xlnm.Print_Titles" localSheetId="0">'48'!$8:$9</definedName>
    <definedName name="_xlnm.Print_Titles" localSheetId="1">'50'!$7:$9</definedName>
    <definedName name="_xlnm.Print_Titles" localSheetId="2">'51'!$8:$9</definedName>
    <definedName name="_xlnm.Print_Titles" localSheetId="3">'52'!$7:$9</definedName>
    <definedName name="_xlnm.Print_Titles" localSheetId="4">'53'!$8:$10</definedName>
    <definedName name="_xlnm.Print_Titles" localSheetId="5">'54'!$A:$B,'54'!$5:$9</definedName>
    <definedName name="_xlnm.Print_Titles" localSheetId="6">'58'!$A:$B</definedName>
    <definedName name="_xlnm.Print_Titles" localSheetId="7">'59'!$A:$B</definedName>
    <definedName name="_xlnm.Print_Titles" localSheetId="8">'61'!$A:$B,'61'!$7:$12</definedName>
    <definedName name="TW">#REF!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13" i="4" l="1"/>
  <c r="Y20" i="4"/>
  <c r="Y21" i="4"/>
  <c r="Y22" i="4"/>
  <c r="Y23" i="4"/>
  <c r="Y24" i="4"/>
  <c r="Y26" i="4"/>
  <c r="Y28" i="4"/>
  <c r="Y29" i="4"/>
  <c r="Y30" i="4"/>
  <c r="Y31" i="4"/>
  <c r="Y32" i="4"/>
  <c r="Y39" i="4"/>
  <c r="Y49" i="4"/>
  <c r="Y50" i="4"/>
  <c r="Y51" i="4"/>
  <c r="Y52" i="4"/>
  <c r="Y53" i="4"/>
  <c r="Y54" i="4"/>
  <c r="Y55" i="4"/>
  <c r="Y56" i="4"/>
  <c r="Y57" i="4"/>
  <c r="Y58" i="4"/>
  <c r="Y59" i="4"/>
  <c r="Y60" i="4"/>
  <c r="Y61" i="4"/>
  <c r="Y62" i="4"/>
  <c r="Y63" i="4"/>
  <c r="Y64" i="4"/>
  <c r="Y65" i="4"/>
  <c r="Y66" i="4"/>
  <c r="Y67" i="4"/>
  <c r="Y68" i="4"/>
  <c r="Y69" i="4"/>
  <c r="Y70" i="4"/>
  <c r="Y71" i="4"/>
  <c r="Y72" i="4"/>
  <c r="Y73" i="4"/>
  <c r="Y74" i="4"/>
  <c r="Y75" i="4"/>
  <c r="Y77" i="4"/>
  <c r="Y78" i="4"/>
  <c r="Y79" i="4"/>
  <c r="Y80" i="4"/>
  <c r="Y81" i="4"/>
  <c r="Y82" i="4"/>
  <c r="Y83" i="4"/>
  <c r="Y84" i="4"/>
  <c r="Y98" i="4"/>
  <c r="Y99" i="4"/>
  <c r="Y101" i="4"/>
  <c r="Y103" i="4"/>
  <c r="Y104" i="4"/>
  <c r="Y105" i="4"/>
  <c r="Y106" i="4"/>
  <c r="Y107" i="4"/>
  <c r="Y108" i="4"/>
  <c r="Y19" i="4"/>
  <c r="T99" i="4"/>
  <c r="T100" i="4"/>
  <c r="U97" i="4"/>
  <c r="U98" i="4"/>
  <c r="U99" i="4"/>
  <c r="U100" i="4"/>
  <c r="U101" i="4"/>
  <c r="U102" i="4"/>
  <c r="U103" i="4"/>
  <c r="U104" i="4"/>
  <c r="U105" i="4"/>
  <c r="U106" i="4"/>
  <c r="U107" i="4"/>
  <c r="U108" i="4"/>
  <c r="T20" i="4"/>
  <c r="T102" i="4"/>
  <c r="T103" i="4"/>
  <c r="T105" i="4"/>
  <c r="T107" i="4"/>
  <c r="T13" i="4"/>
  <c r="H22" i="3"/>
  <c r="G22" i="3"/>
  <c r="I16" i="3" l="1"/>
  <c r="J16" i="3"/>
  <c r="I19" i="3"/>
  <c r="J19" i="3"/>
  <c r="K19" i="3"/>
  <c r="I21" i="3"/>
  <c r="J21" i="3"/>
  <c r="I24" i="3"/>
  <c r="J24" i="3"/>
  <c r="I25" i="3"/>
  <c r="J25" i="3"/>
  <c r="I26" i="3"/>
  <c r="J26" i="3"/>
  <c r="K26" i="3"/>
  <c r="I27" i="3"/>
  <c r="J27" i="3"/>
  <c r="K27" i="3"/>
  <c r="I33" i="3"/>
  <c r="J33" i="3"/>
  <c r="I34" i="3"/>
  <c r="J34" i="3"/>
  <c r="I35" i="3"/>
  <c r="J35" i="3"/>
  <c r="I36" i="3"/>
  <c r="J36" i="3"/>
  <c r="I37" i="3"/>
  <c r="J37" i="3"/>
  <c r="I40" i="3"/>
  <c r="J40" i="3"/>
  <c r="I41" i="3"/>
  <c r="J41" i="3"/>
  <c r="I42" i="3"/>
  <c r="J42" i="3"/>
  <c r="I43" i="3"/>
  <c r="J43" i="3"/>
  <c r="I44" i="3"/>
  <c r="J44" i="3"/>
  <c r="I45" i="3"/>
  <c r="J45" i="3"/>
  <c r="I46" i="3"/>
  <c r="J46" i="3"/>
  <c r="I47" i="3"/>
  <c r="J47" i="3"/>
  <c r="I48" i="3"/>
  <c r="J48" i="3"/>
  <c r="I49" i="3"/>
  <c r="J49" i="3"/>
  <c r="I50" i="3"/>
  <c r="J50" i="3"/>
  <c r="I53" i="3"/>
  <c r="J53" i="3"/>
  <c r="I54" i="3"/>
  <c r="J54" i="3"/>
  <c r="I55" i="3"/>
  <c r="J55" i="3"/>
  <c r="I56" i="3"/>
  <c r="K56" i="3"/>
  <c r="I57" i="3"/>
  <c r="J57" i="3"/>
  <c r="K57" i="3"/>
  <c r="I58" i="3"/>
  <c r="J58" i="3"/>
  <c r="I59" i="3"/>
  <c r="K59" i="3"/>
  <c r="I60" i="3"/>
  <c r="J60" i="3"/>
  <c r="I61" i="3"/>
  <c r="K61" i="3"/>
  <c r="I62" i="3"/>
  <c r="J62" i="3"/>
  <c r="I63" i="3"/>
  <c r="J63" i="3"/>
  <c r="I64" i="3"/>
  <c r="K64" i="3"/>
  <c r="I65" i="3"/>
  <c r="J65" i="3"/>
  <c r="I66" i="3"/>
  <c r="J66" i="3"/>
  <c r="I67" i="3"/>
  <c r="J67" i="3"/>
  <c r="I68" i="3"/>
  <c r="J68" i="3"/>
  <c r="I69" i="3"/>
  <c r="K69" i="3"/>
  <c r="N114" i="4" l="1"/>
  <c r="K23" i="7"/>
  <c r="K16" i="7"/>
  <c r="Q23" i="8"/>
  <c r="Q16" i="8"/>
  <c r="H18" i="9"/>
  <c r="I18" i="9"/>
  <c r="K18" i="9"/>
  <c r="L18" i="9"/>
  <c r="O18" i="9"/>
  <c r="P18" i="9"/>
  <c r="R18" i="9"/>
  <c r="S18" i="9"/>
  <c r="Y18" i="9"/>
  <c r="Z18" i="9"/>
  <c r="AB18" i="9"/>
  <c r="AC18" i="9"/>
  <c r="AF18" i="9"/>
  <c r="AG18" i="9"/>
  <c r="AI18" i="9"/>
  <c r="AJ18" i="9"/>
  <c r="AH20" i="9" l="1"/>
  <c r="AE20" i="9"/>
  <c r="AA20" i="9"/>
  <c r="X20" i="9"/>
  <c r="Q20" i="9"/>
  <c r="N20" i="9"/>
  <c r="J20" i="9"/>
  <c r="G20" i="9"/>
  <c r="AH19" i="9"/>
  <c r="AE19" i="9"/>
  <c r="AA19" i="9"/>
  <c r="X19" i="9"/>
  <c r="Q19" i="9"/>
  <c r="N19" i="9"/>
  <c r="J19" i="9"/>
  <c r="G19" i="9"/>
  <c r="AA18" i="9" l="1"/>
  <c r="N18" i="9"/>
  <c r="W19" i="9"/>
  <c r="U19" i="9" s="1"/>
  <c r="F20" i="9"/>
  <c r="AH18" i="9"/>
  <c r="AE18" i="9"/>
  <c r="J18" i="9"/>
  <c r="F19" i="9"/>
  <c r="G18" i="9"/>
  <c r="X18" i="9"/>
  <c r="E20" i="9"/>
  <c r="M20" i="9"/>
  <c r="M19" i="9"/>
  <c r="Q18" i="9"/>
  <c r="AD20" i="9"/>
  <c r="V20" i="9"/>
  <c r="V19" i="9"/>
  <c r="AD19" i="9"/>
  <c r="W20" i="9"/>
  <c r="U20" i="9" s="1"/>
  <c r="D19" i="9"/>
  <c r="D20" i="9"/>
  <c r="C20" i="9" s="1"/>
  <c r="E19" i="9"/>
  <c r="AU20" i="9" l="1"/>
  <c r="V18" i="9"/>
  <c r="E18" i="9"/>
  <c r="M18" i="9"/>
  <c r="W18" i="9"/>
  <c r="T19" i="9"/>
  <c r="T20" i="9"/>
  <c r="F18" i="9"/>
  <c r="D18" i="9"/>
  <c r="AD18" i="9"/>
  <c r="AK20" i="9"/>
  <c r="C19" i="9"/>
  <c r="AK19" i="9" l="1"/>
  <c r="U18" i="9"/>
  <c r="C18" i="9"/>
  <c r="T18" i="9" l="1"/>
  <c r="H14" i="9" l="1"/>
  <c r="I14" i="9"/>
  <c r="K14" i="9"/>
  <c r="L14" i="9"/>
  <c r="O14" i="9"/>
  <c r="P14" i="9"/>
  <c r="R14" i="9"/>
  <c r="S14" i="9"/>
  <c r="Y14" i="9"/>
  <c r="Z14" i="9"/>
  <c r="AB14" i="9"/>
  <c r="AC14" i="9"/>
  <c r="AF14" i="9"/>
  <c r="AG14" i="9"/>
  <c r="AI14" i="9"/>
  <c r="AJ14" i="9"/>
  <c r="O23" i="8" l="1"/>
  <c r="O15" i="8"/>
  <c r="O16" i="8"/>
  <c r="O17" i="8"/>
  <c r="O18" i="8"/>
  <c r="O19" i="8"/>
  <c r="O20" i="8"/>
  <c r="O21" i="8"/>
  <c r="O22" i="8"/>
  <c r="O14" i="8"/>
  <c r="C15" i="8"/>
  <c r="K114" i="4" l="1"/>
  <c r="N11" i="4"/>
  <c r="N10" i="4" s="1"/>
  <c r="C13" i="4"/>
  <c r="C16" i="4"/>
  <c r="C17" i="4"/>
  <c r="C18" i="4"/>
  <c r="C19" i="4"/>
  <c r="C20" i="4"/>
  <c r="C21" i="4"/>
  <c r="C22" i="4"/>
  <c r="C23" i="4"/>
  <c r="C24" i="4"/>
  <c r="C25" i="4"/>
  <c r="C26" i="4"/>
  <c r="C27" i="4"/>
  <c r="C28" i="4"/>
  <c r="C29" i="4"/>
  <c r="C30"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2" i="4"/>
  <c r="R124" i="4"/>
  <c r="J123" i="4"/>
  <c r="D11" i="4"/>
  <c r="F11" i="4"/>
  <c r="H11" i="4"/>
  <c r="I11" i="4"/>
  <c r="P11" i="4"/>
  <c r="P10" i="4" s="1"/>
  <c r="Q11" i="4"/>
  <c r="Q10" i="4" s="1"/>
  <c r="D18" i="1"/>
  <c r="H24" i="3"/>
  <c r="D39" i="1"/>
  <c r="G72" i="3"/>
  <c r="L57" i="3"/>
  <c r="G43" i="3"/>
  <c r="G41" i="3"/>
  <c r="D42" i="3"/>
  <c r="D43" i="3"/>
  <c r="D41" i="3"/>
  <c r="E33" i="3"/>
  <c r="G33" i="3"/>
  <c r="C54" i="3" l="1"/>
  <c r="F54" i="3"/>
  <c r="C55" i="3"/>
  <c r="F55" i="3"/>
  <c r="C56" i="3"/>
  <c r="F56" i="3"/>
  <c r="C57" i="3"/>
  <c r="F57" i="3"/>
  <c r="C58" i="3"/>
  <c r="F58" i="3"/>
  <c r="C59" i="3"/>
  <c r="F59" i="3"/>
  <c r="C60" i="3"/>
  <c r="F60" i="3"/>
  <c r="C61" i="3"/>
  <c r="F61" i="3"/>
  <c r="C62" i="3"/>
  <c r="F62" i="3"/>
  <c r="C63" i="3"/>
  <c r="F63" i="3"/>
  <c r="C64" i="3"/>
  <c r="F64" i="3"/>
  <c r="C65" i="3"/>
  <c r="F65" i="3"/>
  <c r="C66" i="3"/>
  <c r="F66" i="3"/>
  <c r="C67" i="3"/>
  <c r="F67" i="3"/>
  <c r="C68" i="3"/>
  <c r="F68" i="3"/>
  <c r="C69" i="3"/>
  <c r="F69" i="3"/>
  <c r="C70" i="3"/>
  <c r="F70" i="3"/>
  <c r="C71" i="3"/>
  <c r="F71" i="3"/>
  <c r="C72" i="3"/>
  <c r="F72" i="3"/>
  <c r="C73" i="3"/>
  <c r="F73" i="3"/>
  <c r="C74" i="3"/>
  <c r="F74" i="3"/>
  <c r="C75" i="3"/>
  <c r="F75" i="3"/>
  <c r="C76" i="3"/>
  <c r="F76" i="3"/>
  <c r="C42" i="3"/>
  <c r="F42" i="3"/>
  <c r="C43" i="3"/>
  <c r="F43" i="3"/>
  <c r="C44" i="3"/>
  <c r="F44" i="3"/>
  <c r="C45" i="3"/>
  <c r="F45" i="3"/>
  <c r="C46" i="3"/>
  <c r="F46" i="3"/>
  <c r="C47" i="3"/>
  <c r="F47" i="3"/>
  <c r="C48" i="3"/>
  <c r="F48" i="3"/>
  <c r="C49" i="3"/>
  <c r="F49" i="3"/>
  <c r="C50" i="3"/>
  <c r="F50" i="3"/>
  <c r="C51" i="3"/>
  <c r="F51" i="3"/>
  <c r="C52" i="3"/>
  <c r="F52" i="3"/>
  <c r="C53" i="3"/>
  <c r="F53" i="3"/>
  <c r="C77" i="3"/>
  <c r="F77" i="3"/>
  <c r="C78" i="3"/>
  <c r="F78" i="3"/>
  <c r="D39" i="3"/>
  <c r="E39" i="3"/>
  <c r="E32" i="3" s="1"/>
  <c r="G39" i="3"/>
  <c r="J39" i="3" s="1"/>
  <c r="H39" i="3"/>
  <c r="K39" i="3" s="1"/>
  <c r="C40" i="3"/>
  <c r="F40" i="3"/>
  <c r="C41" i="3"/>
  <c r="F41" i="3"/>
  <c r="D33" i="3"/>
  <c r="H33" i="3"/>
  <c r="F35" i="3"/>
  <c r="F36" i="3"/>
  <c r="F37" i="3"/>
  <c r="F33" i="3" s="1"/>
  <c r="F38" i="3"/>
  <c r="F34" i="3"/>
  <c r="C35" i="3"/>
  <c r="C36" i="3"/>
  <c r="C37" i="3"/>
  <c r="C38" i="3"/>
  <c r="C34" i="3"/>
  <c r="F31" i="3"/>
  <c r="F30" i="3"/>
  <c r="D22" i="3"/>
  <c r="E22" i="3"/>
  <c r="D14" i="3"/>
  <c r="E46" i="2"/>
  <c r="E45" i="2"/>
  <c r="E30" i="2"/>
  <c r="E28" i="2"/>
  <c r="E24" i="2"/>
  <c r="E25" i="2"/>
  <c r="E20" i="2"/>
  <c r="E21" i="2"/>
  <c r="E15" i="2"/>
  <c r="E47" i="2"/>
  <c r="C11" i="2"/>
  <c r="D32" i="3" l="1"/>
  <c r="G32" i="3"/>
  <c r="J32" i="3" s="1"/>
  <c r="J22" i="3"/>
  <c r="F39" i="3"/>
  <c r="C33" i="3"/>
  <c r="H32" i="3"/>
  <c r="K32" i="3" s="1"/>
  <c r="C39" i="3"/>
  <c r="F32" i="3" l="1"/>
  <c r="I32" i="3" s="1"/>
  <c r="I39" i="3"/>
  <c r="C32" i="3"/>
  <c r="C71" i="1" l="1"/>
  <c r="D69" i="1"/>
  <c r="F90" i="1"/>
  <c r="D85" i="1"/>
  <c r="D91" i="1"/>
  <c r="D78" i="1"/>
  <c r="D83" i="1"/>
  <c r="D71" i="1" l="1"/>
  <c r="D65" i="1" l="1"/>
  <c r="D64" i="1"/>
  <c r="D63" i="1"/>
  <c r="D58" i="1" l="1"/>
  <c r="D24" i="1" s="1"/>
  <c r="D57" i="1" l="1"/>
  <c r="D56" i="1" s="1"/>
  <c r="E89" i="1" l="1"/>
  <c r="C57" i="1"/>
  <c r="E57" i="1" s="1"/>
  <c r="E87" i="1"/>
  <c r="E86" i="1"/>
  <c r="E85" i="1"/>
  <c r="E80" i="1"/>
  <c r="E81" i="1"/>
  <c r="E82" i="1"/>
  <c r="E83" i="1"/>
  <c r="E84" i="1"/>
  <c r="E88" i="1"/>
  <c r="E90" i="1"/>
  <c r="E91" i="1"/>
  <c r="C56" i="1" l="1"/>
  <c r="E56" i="1" s="1"/>
  <c r="E63" i="1" l="1"/>
  <c r="E64" i="1"/>
  <c r="E65" i="1"/>
  <c r="E66" i="1"/>
  <c r="E67" i="1"/>
  <c r="E68" i="1"/>
  <c r="E71" i="1"/>
  <c r="E72" i="1"/>
  <c r="E73" i="1"/>
  <c r="E74" i="1"/>
  <c r="E75" i="1"/>
  <c r="E76" i="1"/>
  <c r="E77" i="1"/>
  <c r="E78" i="1"/>
  <c r="E79" i="1"/>
  <c r="C13" i="1"/>
  <c r="C12" i="1" s="1"/>
  <c r="C23" i="10" s="1"/>
  <c r="C27" i="1"/>
  <c r="C22" i="1" s="1"/>
  <c r="C24" i="10" s="1"/>
  <c r="D51" i="1"/>
  <c r="C51" i="1"/>
  <c r="D13" i="1"/>
  <c r="D23" i="10" s="1"/>
  <c r="E41" i="1" l="1"/>
  <c r="E42" i="1"/>
  <c r="E43" i="1"/>
  <c r="E45" i="1"/>
  <c r="E47" i="1"/>
  <c r="E48" i="1"/>
  <c r="E50" i="1"/>
  <c r="E52" i="1"/>
  <c r="D49" i="1"/>
  <c r="D22" i="1" s="1"/>
  <c r="D24" i="10" s="1"/>
  <c r="C49" i="1"/>
  <c r="E51" i="1" l="1"/>
  <c r="E49" i="1"/>
  <c r="D46" i="1"/>
  <c r="C46" i="1"/>
  <c r="D44" i="1"/>
  <c r="C44" i="1"/>
  <c r="D40" i="1"/>
  <c r="C40" i="1"/>
  <c r="C39" i="1" s="1"/>
  <c r="C38" i="1" s="1"/>
  <c r="D38" i="1" l="1"/>
  <c r="D31" i="10" s="1"/>
  <c r="D29" i="10" s="1"/>
  <c r="E44" i="1"/>
  <c r="E46" i="1"/>
  <c r="E40" i="1"/>
  <c r="E39" i="1" l="1"/>
  <c r="C29" i="1" l="1"/>
  <c r="C28" i="1" s="1"/>
  <c r="C31" i="10" s="1"/>
  <c r="D34" i="1"/>
  <c r="D30" i="1"/>
  <c r="D29" i="1" l="1"/>
  <c r="D28" i="1" s="1"/>
  <c r="F10" i="4"/>
  <c r="L104" i="4" l="1"/>
  <c r="R13" i="4"/>
  <c r="J15" i="4"/>
  <c r="C15" i="4" s="1"/>
  <c r="R15" i="4"/>
  <c r="L11" i="4" l="1"/>
  <c r="L10" i="4" s="1"/>
  <c r="T104" i="4"/>
  <c r="K48" i="4"/>
  <c r="S48" i="4" s="1"/>
  <c r="U48" i="4"/>
  <c r="M31" i="4"/>
  <c r="M11" i="4" s="1"/>
  <c r="M10" i="4" s="1"/>
  <c r="E31" i="4"/>
  <c r="R38" i="4"/>
  <c r="J14" i="4"/>
  <c r="R11" i="4" l="1"/>
  <c r="R10" i="4" s="1"/>
  <c r="Y38" i="4"/>
  <c r="C14" i="4"/>
  <c r="J11" i="4"/>
  <c r="E11" i="4"/>
  <c r="C31" i="4"/>
  <c r="F54" i="12"/>
  <c r="F52" i="12"/>
  <c r="F47" i="12"/>
  <c r="F46" i="12"/>
  <c r="F42" i="12"/>
  <c r="F31" i="12" l="1"/>
  <c r="H31" i="12" s="1"/>
  <c r="G30" i="12"/>
  <c r="E31" i="12"/>
  <c r="E29" i="12" s="1"/>
  <c r="E21" i="12"/>
  <c r="E19" i="12" s="1"/>
  <c r="D29" i="12"/>
  <c r="C29" i="12"/>
  <c r="C25" i="12" s="1"/>
  <c r="D19" i="12"/>
  <c r="F19" i="12"/>
  <c r="C19" i="12"/>
  <c r="F28" i="10"/>
  <c r="C13" i="10"/>
  <c r="G31" i="12" l="1"/>
  <c r="H30" i="12"/>
  <c r="F29" i="12"/>
  <c r="U109" i="4" l="1"/>
  <c r="O109" i="4"/>
  <c r="K109" i="4" s="1"/>
  <c r="G109" i="4"/>
  <c r="C109" i="4" l="1"/>
  <c r="G11" i="4"/>
  <c r="S109" i="4"/>
  <c r="O25" i="4" l="1"/>
  <c r="Y16" i="4"/>
  <c r="E34" i="2" l="1"/>
  <c r="F34" i="2" l="1"/>
  <c r="C14" i="2" l="1"/>
  <c r="C13" i="2" s="1"/>
  <c r="D12" i="1" l="1"/>
  <c r="C22" i="10" l="1"/>
  <c r="O110" i="4" l="1"/>
  <c r="K110" i="4" s="1"/>
  <c r="O111" i="4"/>
  <c r="K111" i="4" s="1"/>
  <c r="O112" i="4"/>
  <c r="K112" i="4" s="1"/>
  <c r="O113" i="4"/>
  <c r="K113" i="4" s="1"/>
  <c r="AU7" i="9" l="1"/>
  <c r="AH7" i="9"/>
  <c r="E59" i="1"/>
  <c r="T13" i="7" l="1"/>
  <c r="T14" i="7"/>
  <c r="T15" i="7"/>
  <c r="T16" i="7"/>
  <c r="T17" i="7"/>
  <c r="T18" i="7"/>
  <c r="T19" i="7"/>
  <c r="T20" i="7"/>
  <c r="T21" i="7"/>
  <c r="T22" i="7"/>
  <c r="T23" i="7"/>
  <c r="S12" i="7"/>
  <c r="T12" i="7"/>
  <c r="Y13" i="9" l="1"/>
  <c r="Z13" i="9"/>
  <c r="AB13" i="9"/>
  <c r="AC13" i="9"/>
  <c r="AF13" i="9"/>
  <c r="AG13" i="9"/>
  <c r="AI13" i="9"/>
  <c r="AJ13" i="9"/>
  <c r="AE15" i="9"/>
  <c r="AE16" i="9"/>
  <c r="AE17" i="9"/>
  <c r="AH15" i="9"/>
  <c r="AH16" i="9"/>
  <c r="AH17" i="9"/>
  <c r="X15" i="9"/>
  <c r="X16" i="9"/>
  <c r="X17" i="9"/>
  <c r="AA15" i="9"/>
  <c r="AA16" i="9"/>
  <c r="AA17" i="9"/>
  <c r="AE14" i="9" l="1"/>
  <c r="AA14" i="9"/>
  <c r="AH14" i="9"/>
  <c r="AH13" i="9" s="1"/>
  <c r="X14" i="9"/>
  <c r="X13" i="9" s="1"/>
  <c r="AE13" i="9"/>
  <c r="AA13" i="9"/>
  <c r="V16" i="9"/>
  <c r="V15" i="9"/>
  <c r="AD15" i="9"/>
  <c r="AD16" i="9"/>
  <c r="V17" i="9"/>
  <c r="W16" i="9"/>
  <c r="AD17" i="9"/>
  <c r="W17" i="9"/>
  <c r="W15" i="9"/>
  <c r="AD14" i="9" l="1"/>
  <c r="AD13" i="9" s="1"/>
  <c r="V14" i="9"/>
  <c r="V13" i="9" s="1"/>
  <c r="W14" i="9"/>
  <c r="W13" i="9" s="1"/>
  <c r="U16" i="9"/>
  <c r="U17" i="9"/>
  <c r="U15" i="9"/>
  <c r="U14" i="9" l="1"/>
  <c r="U13" i="9" s="1"/>
  <c r="T17" i="9"/>
  <c r="T16" i="9"/>
  <c r="T15" i="9"/>
  <c r="T14" i="9" l="1"/>
  <c r="T13" i="9" s="1"/>
  <c r="G17" i="9"/>
  <c r="J17" i="9"/>
  <c r="N17" i="9"/>
  <c r="Q17" i="9"/>
  <c r="G15" i="9"/>
  <c r="J15" i="9"/>
  <c r="N15" i="9"/>
  <c r="Q15" i="9"/>
  <c r="G16" i="9"/>
  <c r="J16" i="9"/>
  <c r="N16" i="9"/>
  <c r="Q16" i="9"/>
  <c r="AZ18" i="9"/>
  <c r="J14" i="9" l="1"/>
  <c r="N14" i="9"/>
  <c r="G14" i="9"/>
  <c r="Q14" i="9"/>
  <c r="P13" i="9"/>
  <c r="L13" i="9"/>
  <c r="S13" i="9"/>
  <c r="E17" i="9"/>
  <c r="K13" i="9"/>
  <c r="M16" i="9"/>
  <c r="R13" i="9"/>
  <c r="AZ13" i="9" s="1"/>
  <c r="E16" i="9"/>
  <c r="F17" i="9"/>
  <c r="D17" i="9"/>
  <c r="D15" i="9"/>
  <c r="D16" i="9"/>
  <c r="M15" i="9"/>
  <c r="E15" i="9"/>
  <c r="M17" i="9"/>
  <c r="F16" i="9"/>
  <c r="F15" i="9"/>
  <c r="AY18" i="9"/>
  <c r="T18" i="8"/>
  <c r="T19" i="8"/>
  <c r="T21" i="8"/>
  <c r="T22" i="8"/>
  <c r="T20" i="8"/>
  <c r="T13" i="8"/>
  <c r="T17" i="8"/>
  <c r="D14" i="9" l="1"/>
  <c r="M14" i="9"/>
  <c r="F14" i="9"/>
  <c r="E14" i="9"/>
  <c r="I13" i="9"/>
  <c r="C15" i="9"/>
  <c r="C17" i="9"/>
  <c r="J13" i="9"/>
  <c r="C16" i="9"/>
  <c r="H13" i="9"/>
  <c r="O13" i="9"/>
  <c r="Q13" i="9"/>
  <c r="AY13" i="9" s="1"/>
  <c r="AU18" i="9"/>
  <c r="AM18" i="9"/>
  <c r="T14" i="8"/>
  <c r="T23" i="8"/>
  <c r="T12" i="8"/>
  <c r="T16" i="8"/>
  <c r="T15" i="8"/>
  <c r="C14" i="9" l="1"/>
  <c r="G13" i="9"/>
  <c r="N13" i="9"/>
  <c r="AK18" i="9"/>
  <c r="G12" i="8"/>
  <c r="E12" i="8" s="1"/>
  <c r="C12" i="8" s="1"/>
  <c r="Y23" i="8"/>
  <c r="Y12" i="8"/>
  <c r="Y14" i="8"/>
  <c r="Y19" i="8"/>
  <c r="Y22" i="8"/>
  <c r="Y13" i="8"/>
  <c r="Y18" i="8"/>
  <c r="Y15" i="8"/>
  <c r="O12" i="8"/>
  <c r="G13" i="8"/>
  <c r="E13" i="8" s="1"/>
  <c r="C13" i="8" s="1"/>
  <c r="G14" i="8"/>
  <c r="E14" i="8" s="1"/>
  <c r="C14" i="8" s="1"/>
  <c r="G15" i="8"/>
  <c r="E15" i="8" s="1"/>
  <c r="G16" i="8"/>
  <c r="G17" i="8"/>
  <c r="E17" i="8" s="1"/>
  <c r="C17" i="8" s="1"/>
  <c r="G18" i="8"/>
  <c r="E18" i="8" s="1"/>
  <c r="C18" i="8" s="1"/>
  <c r="G19" i="8"/>
  <c r="E19" i="8" s="1"/>
  <c r="C19" i="8" s="1"/>
  <c r="G20" i="8"/>
  <c r="E20" i="8" s="1"/>
  <c r="C20" i="8" s="1"/>
  <c r="G21" i="8"/>
  <c r="E21" i="8" s="1"/>
  <c r="C21" i="8" s="1"/>
  <c r="G22" i="8"/>
  <c r="E22" i="8" s="1"/>
  <c r="C22" i="8" s="1"/>
  <c r="G23" i="8"/>
  <c r="E23" i="8" s="1"/>
  <c r="C23" i="8" s="1"/>
  <c r="D11" i="8"/>
  <c r="F11" i="8"/>
  <c r="H11" i="8"/>
  <c r="I11" i="8"/>
  <c r="J11" i="8"/>
  <c r="L11" i="8"/>
  <c r="N11" i="8"/>
  <c r="P11" i="8"/>
  <c r="R11" i="8"/>
  <c r="S15" i="7"/>
  <c r="S16" i="7"/>
  <c r="S20" i="7"/>
  <c r="S23" i="7"/>
  <c r="N13" i="7"/>
  <c r="N14" i="7"/>
  <c r="N15" i="7"/>
  <c r="N16" i="7"/>
  <c r="N17" i="7"/>
  <c r="N18" i="7"/>
  <c r="N19" i="7"/>
  <c r="N20" i="7"/>
  <c r="N21" i="7"/>
  <c r="N22" i="7"/>
  <c r="N23" i="7"/>
  <c r="N12" i="7"/>
  <c r="T11" i="8" l="1"/>
  <c r="G13" i="7"/>
  <c r="M23" i="8"/>
  <c r="W23" i="8"/>
  <c r="M18" i="8"/>
  <c r="W18" i="8"/>
  <c r="G17" i="7"/>
  <c r="G12" i="7"/>
  <c r="G20" i="7"/>
  <c r="G16" i="7"/>
  <c r="Y17" i="8"/>
  <c r="G21" i="7"/>
  <c r="G23" i="7"/>
  <c r="G19" i="7"/>
  <c r="G15" i="7"/>
  <c r="M20" i="8"/>
  <c r="W20" i="8"/>
  <c r="M14" i="8"/>
  <c r="W14" i="8"/>
  <c r="W16" i="8"/>
  <c r="Y16" i="8"/>
  <c r="Y21" i="8"/>
  <c r="G22" i="7"/>
  <c r="G18" i="7"/>
  <c r="G14" i="7"/>
  <c r="M12" i="8"/>
  <c r="W12" i="8"/>
  <c r="M19" i="8"/>
  <c r="W19" i="8"/>
  <c r="O13" i="8"/>
  <c r="Q11" i="8"/>
  <c r="Y11" i="8" s="1"/>
  <c r="Y20" i="8"/>
  <c r="F13" i="9"/>
  <c r="E13" i="9"/>
  <c r="AM13" i="9" s="1"/>
  <c r="M13" i="9"/>
  <c r="AU13" i="9" s="1"/>
  <c r="G11" i="8"/>
  <c r="E16" i="8"/>
  <c r="C16" i="8" s="1"/>
  <c r="C11" i="8" s="1"/>
  <c r="C13" i="7"/>
  <c r="C14" i="7"/>
  <c r="C15" i="7"/>
  <c r="C16" i="7"/>
  <c r="C17" i="7"/>
  <c r="C18" i="7"/>
  <c r="C19" i="7"/>
  <c r="C20" i="7"/>
  <c r="C21" i="7"/>
  <c r="C22" i="7"/>
  <c r="C23" i="7"/>
  <c r="C12" i="7"/>
  <c r="D11" i="7"/>
  <c r="E11" i="7"/>
  <c r="F11" i="7"/>
  <c r="K11" i="7"/>
  <c r="H11" i="7"/>
  <c r="I11" i="7"/>
  <c r="J11" i="7"/>
  <c r="L11" i="7"/>
  <c r="M11" i="7"/>
  <c r="N11" i="7"/>
  <c r="O11" i="7"/>
  <c r="P11" i="7"/>
  <c r="Q11" i="7"/>
  <c r="Y18" i="4"/>
  <c r="R23" i="7" l="1"/>
  <c r="R22" i="7"/>
  <c r="R19" i="7"/>
  <c r="R18" i="7"/>
  <c r="R16" i="7"/>
  <c r="G11" i="7"/>
  <c r="R12" i="7"/>
  <c r="M16" i="8"/>
  <c r="K16" i="8" s="1"/>
  <c r="R15" i="7"/>
  <c r="O11" i="8"/>
  <c r="W11" i="8" s="1"/>
  <c r="R14" i="7"/>
  <c r="R13" i="7"/>
  <c r="R20" i="7"/>
  <c r="R21" i="7"/>
  <c r="R17" i="7"/>
  <c r="T11" i="7"/>
  <c r="W15" i="8"/>
  <c r="M15" i="8"/>
  <c r="K19" i="8"/>
  <c r="S19" i="8" s="1"/>
  <c r="U19" i="8"/>
  <c r="K20" i="8"/>
  <c r="S20" i="8" s="1"/>
  <c r="U20" i="8"/>
  <c r="M22" i="8"/>
  <c r="W22" i="8"/>
  <c r="K23" i="8"/>
  <c r="S23" i="8" s="1"/>
  <c r="U23" i="8"/>
  <c r="S11" i="7"/>
  <c r="M13" i="8"/>
  <c r="W13" i="8"/>
  <c r="K12" i="8"/>
  <c r="S12" i="8" s="1"/>
  <c r="U12" i="8"/>
  <c r="M21" i="8"/>
  <c r="W21" i="8"/>
  <c r="K14" i="8"/>
  <c r="S14" i="8" s="1"/>
  <c r="U14" i="8"/>
  <c r="M17" i="8"/>
  <c r="W17" i="8"/>
  <c r="K18" i="8"/>
  <c r="S18" i="8" s="1"/>
  <c r="U18" i="8"/>
  <c r="C13" i="9"/>
  <c r="AK13" i="9" s="1"/>
  <c r="D13" i="9"/>
  <c r="E11" i="8"/>
  <c r="C11" i="7"/>
  <c r="U16" i="8" l="1"/>
  <c r="R11" i="7"/>
  <c r="U15" i="8"/>
  <c r="K15" i="8"/>
  <c r="S15" i="8" s="1"/>
  <c r="K17" i="8"/>
  <c r="S17" i="8" s="1"/>
  <c r="U17" i="8"/>
  <c r="K21" i="8"/>
  <c r="S21" i="8" s="1"/>
  <c r="U21" i="8"/>
  <c r="K13" i="8"/>
  <c r="S13" i="8" s="1"/>
  <c r="U13" i="8"/>
  <c r="M11" i="8"/>
  <c r="U11" i="8" s="1"/>
  <c r="K22" i="8"/>
  <c r="S22" i="8" s="1"/>
  <c r="U22" i="8"/>
  <c r="S16" i="8"/>
  <c r="U13" i="4"/>
  <c r="Y13" i="4"/>
  <c r="U14" i="4"/>
  <c r="U15" i="4"/>
  <c r="Y15" i="4"/>
  <c r="U16" i="4"/>
  <c r="U18" i="4"/>
  <c r="U19" i="4"/>
  <c r="U22" i="4"/>
  <c r="U23" i="4"/>
  <c r="U24" i="4"/>
  <c r="U25" i="4"/>
  <c r="U27" i="4"/>
  <c r="U28" i="4"/>
  <c r="U29" i="4"/>
  <c r="U30" i="4"/>
  <c r="U32" i="4"/>
  <c r="U33" i="4"/>
  <c r="U34" i="4"/>
  <c r="U35" i="4"/>
  <c r="U36" i="4"/>
  <c r="U37" i="4"/>
  <c r="U38" i="4"/>
  <c r="U39" i="4"/>
  <c r="U40" i="4"/>
  <c r="U41" i="4"/>
  <c r="U42" i="4"/>
  <c r="U43" i="4"/>
  <c r="U44" i="4"/>
  <c r="U45" i="4"/>
  <c r="U46" i="4"/>
  <c r="U47" i="4"/>
  <c r="U49" i="4"/>
  <c r="U85" i="4"/>
  <c r="U86" i="4"/>
  <c r="U87" i="4"/>
  <c r="U88" i="4"/>
  <c r="U89" i="4"/>
  <c r="U90" i="4"/>
  <c r="U91" i="4"/>
  <c r="U92" i="4"/>
  <c r="U93" i="4"/>
  <c r="U94" i="4"/>
  <c r="U95" i="4"/>
  <c r="U96" i="4"/>
  <c r="U12" i="4"/>
  <c r="Y12" i="4"/>
  <c r="G110" i="4"/>
  <c r="C110" i="4" s="1"/>
  <c r="S110" i="4" s="1"/>
  <c r="G111" i="4"/>
  <c r="C111" i="4" s="1"/>
  <c r="S111" i="4" s="1"/>
  <c r="G112" i="4"/>
  <c r="C112" i="4" s="1"/>
  <c r="S112" i="4" s="1"/>
  <c r="G113" i="4"/>
  <c r="C113" i="4" s="1"/>
  <c r="S113" i="4" s="1"/>
  <c r="K25" i="4"/>
  <c r="S25" i="4" l="1"/>
  <c r="K11" i="8"/>
  <c r="S11" i="8" s="1"/>
  <c r="T14" i="4"/>
  <c r="O97" i="4"/>
  <c r="O98" i="4"/>
  <c r="O99" i="4"/>
  <c r="O100" i="4"/>
  <c r="O101" i="4"/>
  <c r="O102" i="4"/>
  <c r="O103" i="4"/>
  <c r="O104" i="4"/>
  <c r="O105" i="4"/>
  <c r="O106" i="4"/>
  <c r="O107" i="4"/>
  <c r="O108" i="4"/>
  <c r="C11" i="4"/>
  <c r="U84" i="4"/>
  <c r="U83" i="4"/>
  <c r="U82" i="4"/>
  <c r="U81" i="4"/>
  <c r="U80" i="4"/>
  <c r="U79" i="4"/>
  <c r="U78" i="4"/>
  <c r="U77" i="4"/>
  <c r="U76" i="4"/>
  <c r="U75" i="4"/>
  <c r="U74" i="4"/>
  <c r="U73" i="4"/>
  <c r="U72" i="4"/>
  <c r="U71" i="4"/>
  <c r="U70" i="4"/>
  <c r="U69" i="4"/>
  <c r="U68" i="4"/>
  <c r="U67" i="4"/>
  <c r="U66" i="4"/>
  <c r="U65" i="4"/>
  <c r="U64" i="4"/>
  <c r="U63" i="4"/>
  <c r="U62" i="4"/>
  <c r="U61" i="4"/>
  <c r="U60" i="4"/>
  <c r="U59" i="4"/>
  <c r="U58" i="4"/>
  <c r="K103" i="4" l="1"/>
  <c r="S103" i="4" s="1"/>
  <c r="K99" i="4"/>
  <c r="S99" i="4" s="1"/>
  <c r="K98" i="4"/>
  <c r="S98" i="4" s="1"/>
  <c r="K105" i="4"/>
  <c r="S105" i="4" s="1"/>
  <c r="K97" i="4"/>
  <c r="S97" i="4" s="1"/>
  <c r="K106" i="4"/>
  <c r="S106" i="4" s="1"/>
  <c r="K102" i="4"/>
  <c r="S102" i="4" s="1"/>
  <c r="K108" i="4"/>
  <c r="S108" i="4" s="1"/>
  <c r="K104" i="4"/>
  <c r="S104" i="4" s="1"/>
  <c r="K107" i="4"/>
  <c r="S107" i="4" s="1"/>
  <c r="K101" i="4"/>
  <c r="S101" i="4" s="1"/>
  <c r="K100" i="4"/>
  <c r="S100" i="4" s="1"/>
  <c r="U57" i="4"/>
  <c r="U56" i="4"/>
  <c r="U55" i="4"/>
  <c r="U54" i="4"/>
  <c r="U53" i="4"/>
  <c r="U52" i="4"/>
  <c r="U51" i="4"/>
  <c r="U50" i="4"/>
  <c r="O22" i="4"/>
  <c r="O23" i="4"/>
  <c r="O24" i="4"/>
  <c r="K24" i="4" s="1"/>
  <c r="O26" i="4"/>
  <c r="O27" i="4"/>
  <c r="K27" i="4" s="1"/>
  <c r="O28" i="4"/>
  <c r="O29" i="4"/>
  <c r="K29" i="4" s="1"/>
  <c r="O30" i="4"/>
  <c r="K30" i="4" s="1"/>
  <c r="O31" i="4"/>
  <c r="O32" i="4"/>
  <c r="K32" i="4" s="1"/>
  <c r="O33" i="4"/>
  <c r="K33" i="4" s="1"/>
  <c r="O34" i="4"/>
  <c r="K34" i="4" s="1"/>
  <c r="O35" i="4"/>
  <c r="O36" i="4"/>
  <c r="K36" i="4" s="1"/>
  <c r="O37" i="4"/>
  <c r="K37" i="4" s="1"/>
  <c r="O38" i="4"/>
  <c r="K38" i="4" s="1"/>
  <c r="O39" i="4"/>
  <c r="O40" i="4"/>
  <c r="K40" i="4" s="1"/>
  <c r="O41" i="4"/>
  <c r="K41" i="4" s="1"/>
  <c r="O42" i="4"/>
  <c r="K42" i="4" s="1"/>
  <c r="O43" i="4"/>
  <c r="O44" i="4"/>
  <c r="K44" i="4" s="1"/>
  <c r="O45" i="4"/>
  <c r="K45" i="4" s="1"/>
  <c r="O46" i="4"/>
  <c r="K46" i="4" s="1"/>
  <c r="O47" i="4"/>
  <c r="K47" i="4" s="1"/>
  <c r="O49" i="4"/>
  <c r="K49" i="4" s="1"/>
  <c r="O50" i="4"/>
  <c r="K50" i="4" s="1"/>
  <c r="O51" i="4"/>
  <c r="K51" i="4" s="1"/>
  <c r="O52" i="4"/>
  <c r="K52" i="4" s="1"/>
  <c r="O53" i="4"/>
  <c r="K53" i="4" s="1"/>
  <c r="O54" i="4"/>
  <c r="K54" i="4" s="1"/>
  <c r="O55" i="4"/>
  <c r="K55" i="4" s="1"/>
  <c r="O56" i="4"/>
  <c r="K56" i="4" s="1"/>
  <c r="O57" i="4"/>
  <c r="K57" i="4" s="1"/>
  <c r="O58" i="4"/>
  <c r="K58" i="4" s="1"/>
  <c r="O59" i="4"/>
  <c r="K59" i="4" s="1"/>
  <c r="O60" i="4"/>
  <c r="K60" i="4" s="1"/>
  <c r="O61" i="4"/>
  <c r="K61" i="4" s="1"/>
  <c r="O62" i="4"/>
  <c r="K62" i="4" s="1"/>
  <c r="O63" i="4"/>
  <c r="K63" i="4" s="1"/>
  <c r="O64" i="4"/>
  <c r="K64" i="4" s="1"/>
  <c r="O65" i="4"/>
  <c r="K65" i="4" s="1"/>
  <c r="O66" i="4"/>
  <c r="K66" i="4" s="1"/>
  <c r="O67" i="4"/>
  <c r="K67" i="4" s="1"/>
  <c r="O68" i="4"/>
  <c r="K68" i="4" s="1"/>
  <c r="O69" i="4"/>
  <c r="K69" i="4" s="1"/>
  <c r="O70" i="4"/>
  <c r="K70" i="4" s="1"/>
  <c r="O71" i="4"/>
  <c r="K71" i="4" s="1"/>
  <c r="O72" i="4"/>
  <c r="K72" i="4" s="1"/>
  <c r="O73" i="4"/>
  <c r="O74" i="4"/>
  <c r="K74" i="4" s="1"/>
  <c r="O75" i="4"/>
  <c r="K75" i="4" s="1"/>
  <c r="O76" i="4"/>
  <c r="K76" i="4" s="1"/>
  <c r="O77" i="4"/>
  <c r="K77" i="4" s="1"/>
  <c r="O78" i="4"/>
  <c r="K78" i="4" s="1"/>
  <c r="O79" i="4"/>
  <c r="K79" i="4" s="1"/>
  <c r="O80" i="4"/>
  <c r="K80" i="4" s="1"/>
  <c r="O81" i="4"/>
  <c r="K81" i="4" s="1"/>
  <c r="O82" i="4"/>
  <c r="K82" i="4" s="1"/>
  <c r="O83" i="4"/>
  <c r="K83" i="4" s="1"/>
  <c r="O84" i="4"/>
  <c r="K84" i="4" s="1"/>
  <c r="O85" i="4"/>
  <c r="K85" i="4" s="1"/>
  <c r="O86" i="4"/>
  <c r="K86" i="4" s="1"/>
  <c r="O87" i="4"/>
  <c r="K87" i="4" s="1"/>
  <c r="O88" i="4"/>
  <c r="K88" i="4" s="1"/>
  <c r="O89" i="4"/>
  <c r="O90" i="4"/>
  <c r="K90" i="4" s="1"/>
  <c r="O91" i="4"/>
  <c r="K91" i="4" s="1"/>
  <c r="O92" i="4"/>
  <c r="K92" i="4" s="1"/>
  <c r="O93" i="4"/>
  <c r="K93" i="4" s="1"/>
  <c r="O94" i="4"/>
  <c r="K94" i="4" s="1"/>
  <c r="O95" i="4"/>
  <c r="K95" i="4" s="1"/>
  <c r="O96" i="4"/>
  <c r="K96" i="4" s="1"/>
  <c r="K73" i="4"/>
  <c r="K89" i="4"/>
  <c r="K39" i="4"/>
  <c r="K35" i="4"/>
  <c r="K43" i="4"/>
  <c r="U26" i="4"/>
  <c r="K28" i="4"/>
  <c r="U20" i="4"/>
  <c r="S89" i="4" l="1"/>
  <c r="S66" i="4"/>
  <c r="S43" i="4"/>
  <c r="S42" i="4"/>
  <c r="S94" i="4"/>
  <c r="S90" i="4"/>
  <c r="S93" i="4"/>
  <c r="S62" i="4"/>
  <c r="S86" i="4"/>
  <c r="S81" i="4"/>
  <c r="S85" i="4"/>
  <c r="S82" i="4"/>
  <c r="S73" i="4"/>
  <c r="S65" i="4"/>
  <c r="S36" i="4"/>
  <c r="S39" i="4"/>
  <c r="S92" i="4"/>
  <c r="S84" i="4"/>
  <c r="S76" i="4"/>
  <c r="S72" i="4"/>
  <c r="S69" i="4"/>
  <c r="S60" i="4"/>
  <c r="S56" i="4"/>
  <c r="S37" i="4"/>
  <c r="S34" i="4"/>
  <c r="S44" i="4"/>
  <c r="S49" i="4"/>
  <c r="S79" i="4"/>
  <c r="S77" i="4"/>
  <c r="S71" i="4"/>
  <c r="S64" i="4"/>
  <c r="S58" i="4"/>
  <c r="S53" i="4"/>
  <c r="S55" i="4"/>
  <c r="K23" i="4"/>
  <c r="S47" i="4"/>
  <c r="S40" i="4"/>
  <c r="S95" i="4"/>
  <c r="S91" i="4"/>
  <c r="S87" i="4"/>
  <c r="S83" i="4"/>
  <c r="S68" i="4"/>
  <c r="S88" i="4"/>
  <c r="S80" i="4"/>
  <c r="K31" i="4"/>
  <c r="U31" i="4"/>
  <c r="S35" i="4"/>
  <c r="S54" i="4"/>
  <c r="S51" i="4"/>
  <c r="S75" i="4"/>
  <c r="S70" i="4"/>
  <c r="S57" i="4"/>
  <c r="S96" i="4"/>
  <c r="S52" i="4"/>
  <c r="S46" i="4"/>
  <c r="K26" i="4"/>
  <c r="S32" i="4"/>
  <c r="S45" i="4"/>
  <c r="S41" i="4"/>
  <c r="S33" i="4"/>
  <c r="U21" i="4"/>
  <c r="S78" i="4"/>
  <c r="S74" i="4"/>
  <c r="S67" i="4"/>
  <c r="S63" i="4"/>
  <c r="S61" i="4"/>
  <c r="S59" i="4"/>
  <c r="S50" i="4"/>
  <c r="K22" i="4"/>
  <c r="U17" i="4"/>
  <c r="O16" i="4"/>
  <c r="K16" i="4" s="1"/>
  <c r="O17" i="4"/>
  <c r="K17" i="4" s="1"/>
  <c r="O18" i="4"/>
  <c r="K18" i="4" s="1"/>
  <c r="O19" i="4"/>
  <c r="K19" i="4" s="1"/>
  <c r="O20" i="4"/>
  <c r="O21" i="4"/>
  <c r="O15" i="4"/>
  <c r="O13" i="4"/>
  <c r="K13" i="4" s="1"/>
  <c r="O14" i="4"/>
  <c r="O12" i="4"/>
  <c r="O11" i="4" l="1"/>
  <c r="O10" i="4" s="1"/>
  <c r="Y14" i="4"/>
  <c r="K15" i="4"/>
  <c r="K21" i="4"/>
  <c r="K20" i="4"/>
  <c r="K12" i="4"/>
  <c r="K14" i="4"/>
  <c r="S14" i="4" s="1"/>
  <c r="K11" i="4" l="1"/>
  <c r="K10" i="4" s="1"/>
  <c r="S16" i="4"/>
  <c r="S17" i="4"/>
  <c r="S18" i="4"/>
  <c r="S19" i="4"/>
  <c r="S22" i="4"/>
  <c r="S23" i="4"/>
  <c r="S24" i="4"/>
  <c r="S38" i="4"/>
  <c r="S26" i="4"/>
  <c r="S27" i="4"/>
  <c r="S28" i="4"/>
  <c r="S29" i="4"/>
  <c r="S30" i="4"/>
  <c r="S31" i="4"/>
  <c r="S12" i="4"/>
  <c r="G13" i="3"/>
  <c r="G12" i="3" s="1"/>
  <c r="H13" i="3"/>
  <c r="F25" i="3"/>
  <c r="F24" i="3"/>
  <c r="C25" i="3"/>
  <c r="C24" i="3"/>
  <c r="S20" i="4" l="1"/>
  <c r="S15" i="4"/>
  <c r="S13" i="4"/>
  <c r="S21" i="4"/>
  <c r="D10" i="4"/>
  <c r="T10" i="4" s="1"/>
  <c r="T11" i="4"/>
  <c r="H10" i="4"/>
  <c r="I10" i="4"/>
  <c r="E10" i="4"/>
  <c r="U10" i="4" s="1"/>
  <c r="U11" i="4"/>
  <c r="J10" i="4"/>
  <c r="Y11" i="4"/>
  <c r="F14" i="3"/>
  <c r="F13" i="3" s="1"/>
  <c r="Y10" i="4" l="1"/>
  <c r="C10" i="4"/>
  <c r="S10" i="4" s="1"/>
  <c r="G10" i="4"/>
  <c r="D29" i="3"/>
  <c r="E29" i="3"/>
  <c r="G29" i="3"/>
  <c r="H29" i="3"/>
  <c r="C22" i="3"/>
  <c r="D28" i="3" l="1"/>
  <c r="G28" i="3"/>
  <c r="J28" i="3" s="1"/>
  <c r="H28" i="3"/>
  <c r="E28" i="3"/>
  <c r="S11" i="4"/>
  <c r="F29" i="3"/>
  <c r="C29" i="3"/>
  <c r="K28" i="3" l="1"/>
  <c r="C28" i="3"/>
  <c r="F28" i="3"/>
  <c r="I28" i="3" s="1"/>
  <c r="F22" i="3" l="1"/>
  <c r="I22" i="3" s="1"/>
  <c r="K22" i="3"/>
  <c r="F12" i="3"/>
  <c r="H12" i="3"/>
  <c r="H11" i="3" s="1"/>
  <c r="F80" i="3"/>
  <c r="C26" i="3"/>
  <c r="C27" i="3"/>
  <c r="C14" i="3" l="1"/>
  <c r="D13" i="3"/>
  <c r="D12" i="3" l="1"/>
  <c r="D11" i="3" s="1"/>
  <c r="E13" i="3"/>
  <c r="C21" i="3"/>
  <c r="C17" i="3"/>
  <c r="C16" i="3"/>
  <c r="C19" i="3"/>
  <c r="C20" i="3"/>
  <c r="E12" i="3" l="1"/>
  <c r="E11" i="3" s="1"/>
  <c r="C13" i="3"/>
  <c r="C12" i="3" s="1"/>
  <c r="C11" i="3" s="1"/>
  <c r="F20" i="3"/>
  <c r="F19" i="3"/>
  <c r="F17" i="3"/>
  <c r="F16" i="3"/>
  <c r="G11" i="3" l="1"/>
  <c r="J11" i="3" s="1"/>
  <c r="I12" i="3"/>
  <c r="J12" i="3"/>
  <c r="K12" i="3"/>
  <c r="I13" i="3"/>
  <c r="J13" i="3"/>
  <c r="K13" i="3"/>
  <c r="I14" i="3"/>
  <c r="J14" i="3"/>
  <c r="K14" i="3"/>
  <c r="K11" i="3"/>
  <c r="D29" i="2"/>
  <c r="E48" i="2"/>
  <c r="F24" i="2"/>
  <c r="F25" i="2"/>
  <c r="F28" i="2"/>
  <c r="F15" i="2"/>
  <c r="F79" i="3" l="1"/>
  <c r="F11" i="3" l="1"/>
  <c r="I11" i="3" s="1"/>
  <c r="E31" i="2"/>
  <c r="F31" i="2"/>
  <c r="F35" i="2"/>
  <c r="E35" i="2"/>
  <c r="F30" i="2"/>
  <c r="F38" i="2"/>
  <c r="E38" i="2"/>
  <c r="D14" i="2" l="1"/>
  <c r="F11" i="2" l="1"/>
  <c r="E11" i="2"/>
  <c r="C29" i="2"/>
  <c r="F29" i="2" s="1"/>
  <c r="F40" i="2"/>
  <c r="E40" i="2"/>
  <c r="E39" i="2"/>
  <c r="F39" i="2"/>
  <c r="F36" i="2"/>
  <c r="E36" i="2"/>
  <c r="F37" i="2"/>
  <c r="E37" i="2"/>
  <c r="F33" i="2"/>
  <c r="E33" i="2"/>
  <c r="F42" i="2"/>
  <c r="E42" i="2"/>
  <c r="F41" i="2"/>
  <c r="E41" i="2"/>
  <c r="E14" i="2"/>
  <c r="E13" i="2" s="1"/>
  <c r="F32" i="2"/>
  <c r="E32" i="2"/>
  <c r="D13" i="2"/>
  <c r="D12" i="2" s="1"/>
  <c r="D10" i="2" s="1"/>
  <c r="E29" i="2" l="1"/>
  <c r="E12" i="2" s="1"/>
  <c r="E10" i="2" s="1"/>
  <c r="E61" i="1"/>
  <c r="F14" i="2" l="1"/>
  <c r="F13" i="2"/>
  <c r="C12" i="2" l="1"/>
  <c r="C10" i="2" s="1"/>
  <c r="F12" i="2" l="1"/>
  <c r="F10" i="2"/>
  <c r="E62" i="1" l="1"/>
  <c r="C11" i="1"/>
  <c r="E58" i="1"/>
  <c r="E60" i="1"/>
  <c r="D11" i="1" l="1"/>
  <c r="E11" i="1" s="1"/>
  <c r="C10" i="1"/>
  <c r="E38" i="1"/>
  <c r="E26" i="1"/>
  <c r="E27" i="1"/>
  <c r="E24" i="1"/>
  <c r="E25" i="1"/>
  <c r="E13" i="1"/>
  <c r="E15" i="1"/>
  <c r="E12" i="1"/>
  <c r="E22" i="1" l="1"/>
  <c r="D10" i="1"/>
  <c r="E10" i="1" s="1"/>
  <c r="E28" i="1"/>
  <c r="H54" i="12"/>
  <c r="G54" i="12"/>
  <c r="G50" i="12"/>
  <c r="G49" i="12"/>
  <c r="G42" i="12"/>
  <c r="H42" i="12"/>
  <c r="G44" i="12"/>
  <c r="H44" i="12"/>
  <c r="H41" i="12"/>
  <c r="G41" i="12"/>
  <c r="H40" i="12"/>
  <c r="G40" i="12"/>
  <c r="G37" i="12"/>
  <c r="G38" i="12"/>
  <c r="G36" i="12"/>
  <c r="H33" i="12"/>
  <c r="G33" i="12"/>
  <c r="H32" i="12"/>
  <c r="G32" i="12"/>
  <c r="G27" i="12"/>
  <c r="H27" i="12"/>
  <c r="G28" i="12"/>
  <c r="H28" i="12"/>
  <c r="G29" i="12"/>
  <c r="H29" i="12"/>
  <c r="H26" i="12"/>
  <c r="G26" i="12"/>
  <c r="H14" i="12"/>
  <c r="G14" i="12"/>
  <c r="G19" i="12"/>
  <c r="H18" i="12"/>
  <c r="G18" i="12"/>
  <c r="G17" i="12"/>
  <c r="H17" i="12"/>
  <c r="H36" i="12"/>
  <c r="C34" i="12"/>
  <c r="F25" i="12" l="1"/>
  <c r="J39" i="12"/>
  <c r="I39" i="12"/>
  <c r="D46" i="12" l="1"/>
  <c r="H46" i="12" s="1"/>
  <c r="H47" i="12"/>
  <c r="F27" i="10" l="1"/>
  <c r="F14" i="10"/>
  <c r="F16" i="10"/>
  <c r="F17" i="10"/>
  <c r="F13" i="10"/>
  <c r="F31" i="10" l="1"/>
  <c r="F23" i="10"/>
  <c r="J63" i="12" l="1"/>
  <c r="I63" i="12"/>
  <c r="A58" i="12"/>
  <c r="A59" i="12" s="1"/>
  <c r="A60" i="12" s="1"/>
  <c r="A61" i="12" s="1"/>
  <c r="A62" i="12" s="1"/>
  <c r="J56" i="12"/>
  <c r="I56" i="12"/>
  <c r="J55" i="12"/>
  <c r="I55" i="12"/>
  <c r="G47" i="12"/>
  <c r="J46" i="12"/>
  <c r="I46" i="12"/>
  <c r="J42" i="12"/>
  <c r="I42" i="12"/>
  <c r="J41" i="12"/>
  <c r="I41" i="12"/>
  <c r="J40" i="12"/>
  <c r="I40" i="12"/>
  <c r="J38" i="12"/>
  <c r="I38" i="12"/>
  <c r="H38" i="12"/>
  <c r="J37" i="12"/>
  <c r="I37" i="12"/>
  <c r="H37" i="12"/>
  <c r="J36" i="12"/>
  <c r="I36" i="12"/>
  <c r="J35" i="12"/>
  <c r="I35" i="12"/>
  <c r="J34" i="12"/>
  <c r="I34" i="12"/>
  <c r="E34" i="12"/>
  <c r="D34" i="12"/>
  <c r="J33" i="12"/>
  <c r="I33" i="12"/>
  <c r="J32" i="12"/>
  <c r="I32" i="12"/>
  <c r="J26" i="12"/>
  <c r="I26" i="12"/>
  <c r="J25" i="12"/>
  <c r="I25" i="12"/>
  <c r="E25" i="12"/>
  <c r="D25" i="12"/>
  <c r="H25" i="12" s="1"/>
  <c r="J22" i="12"/>
  <c r="I22" i="12"/>
  <c r="F22" i="12"/>
  <c r="E22" i="12"/>
  <c r="D22" i="12"/>
  <c r="C22" i="12"/>
  <c r="J17" i="12"/>
  <c r="I17" i="12"/>
  <c r="J16" i="12"/>
  <c r="I16" i="12"/>
  <c r="F16" i="12"/>
  <c r="E16" i="12"/>
  <c r="D16" i="12"/>
  <c r="C16" i="12"/>
  <c r="J14" i="12"/>
  <c r="I14" i="12"/>
  <c r="J13" i="12"/>
  <c r="I13" i="12"/>
  <c r="F13" i="12"/>
  <c r="E13" i="12"/>
  <c r="D13" i="12"/>
  <c r="C13" i="12"/>
  <c r="J12" i="12"/>
  <c r="I12" i="12"/>
  <c r="J11" i="12"/>
  <c r="I11" i="12"/>
  <c r="J10" i="12"/>
  <c r="I10" i="12"/>
  <c r="D9" i="12"/>
  <c r="E9" i="12" s="1"/>
  <c r="F9" i="12" s="1"/>
  <c r="E41" i="10"/>
  <c r="E40" i="10"/>
  <c r="E39" i="10"/>
  <c r="E38" i="10"/>
  <c r="E37" i="10"/>
  <c r="E36" i="10"/>
  <c r="E35" i="10"/>
  <c r="E33" i="10"/>
  <c r="E32" i="10"/>
  <c r="A31" i="10"/>
  <c r="E30" i="10"/>
  <c r="C29" i="10"/>
  <c r="A24" i="10"/>
  <c r="A25" i="10" s="1"/>
  <c r="A26" i="10" s="1"/>
  <c r="A27" i="10" s="1"/>
  <c r="A28" i="10" s="1"/>
  <c r="E23" i="10"/>
  <c r="E20" i="10"/>
  <c r="E19" i="10"/>
  <c r="E18" i="10"/>
  <c r="C15" i="10"/>
  <c r="A17" i="10"/>
  <c r="E16" i="10"/>
  <c r="D15" i="10"/>
  <c r="E14" i="10"/>
  <c r="E13" i="10"/>
  <c r="D12" i="10"/>
  <c r="C12" i="10"/>
  <c r="D10" i="10"/>
  <c r="D12" i="12" l="1"/>
  <c r="E12" i="12"/>
  <c r="G16" i="12"/>
  <c r="G13" i="12"/>
  <c r="D11" i="12"/>
  <c r="D10" i="12" s="1"/>
  <c r="D11" i="10"/>
  <c r="F12" i="10"/>
  <c r="F15" i="10"/>
  <c r="H13" i="12"/>
  <c r="H16" i="12"/>
  <c r="G34" i="12"/>
  <c r="G25" i="12"/>
  <c r="C46" i="12"/>
  <c r="C21" i="10"/>
  <c r="E15" i="10"/>
  <c r="E12" i="10"/>
  <c r="F34" i="12"/>
  <c r="H34" i="12" s="1"/>
  <c r="C11" i="10"/>
  <c r="E17" i="10"/>
  <c r="E31" i="10"/>
  <c r="F12" i="12" l="1"/>
  <c r="H12" i="12" s="1"/>
  <c r="G46" i="12"/>
  <c r="C12" i="12"/>
  <c r="G12" i="12" s="1"/>
  <c r="F29" i="10"/>
  <c r="F11" i="10"/>
  <c r="E11" i="12"/>
  <c r="E11" i="10"/>
  <c r="E29" i="10"/>
  <c r="D22" i="10" l="1"/>
  <c r="D21" i="10" s="1"/>
  <c r="D34" i="10" s="1"/>
  <c r="F24" i="10"/>
  <c r="E24" i="10"/>
  <c r="C11" i="12"/>
  <c r="C10" i="12" s="1"/>
  <c r="E10" i="12"/>
  <c r="F11" i="12"/>
  <c r="H11" i="12" s="1"/>
  <c r="F22" i="10" l="1"/>
  <c r="E22" i="10"/>
  <c r="G10" i="12"/>
  <c r="G11" i="12"/>
  <c r="F10" i="12"/>
  <c r="H10" i="12" s="1"/>
  <c r="F21" i="10" l="1"/>
  <c r="E34" i="10"/>
  <c r="E21" i="10"/>
</calcChain>
</file>

<file path=xl/comments1.xml><?xml version="1.0" encoding="utf-8"?>
<comments xmlns="http://schemas.openxmlformats.org/spreadsheetml/2006/main">
  <authors>
    <author>Author</author>
  </authors>
  <commentList>
    <comment ref="G37" authorId="0" shapeId="0">
      <text>
        <r>
          <rPr>
            <b/>
            <sz val="9"/>
            <color indexed="81"/>
            <rFont val="Tahoma"/>
            <family val="2"/>
          </rPr>
          <t>Author:</t>
        </r>
        <r>
          <rPr>
            <sz val="9"/>
            <color indexed="81"/>
            <rFont val="Tahoma"/>
            <family val="2"/>
          </rPr>
          <t xml:space="preserve">
Vốn ĐTPT hạch toán Chi TX</t>
        </r>
      </text>
    </comment>
  </commentList>
</comments>
</file>

<file path=xl/sharedStrings.xml><?xml version="1.0" encoding="utf-8"?>
<sst xmlns="http://schemas.openxmlformats.org/spreadsheetml/2006/main" count="1282" uniqueCount="563">
  <si>
    <t/>
  </si>
  <si>
    <t>Đơn vị: Đồng</t>
  </si>
  <si>
    <t>STT</t>
  </si>
  <si>
    <t>Nội dung</t>
  </si>
  <si>
    <t>Dự toán</t>
  </si>
  <si>
    <t>Quyết toán</t>
  </si>
  <si>
    <t>So sánh (%)</t>
  </si>
  <si>
    <t>A</t>
  </si>
  <si>
    <t>CHI CÂN ĐỐI NSĐP</t>
  </si>
  <si>
    <t>I</t>
  </si>
  <si>
    <t>Chi đầu tư phát triển</t>
  </si>
  <si>
    <t>1</t>
  </si>
  <si>
    <t>Chi đầu tư cho các dự án</t>
  </si>
  <si>
    <t>-</t>
  </si>
  <si>
    <t>Chi giáo dục - đào tạo và dạy nghề</t>
  </si>
  <si>
    <t>Chi khoa học và công nghệ</t>
  </si>
  <si>
    <t>Chi đầu tư từ nguồn thu xổ số kiến thiết</t>
  </si>
  <si>
    <t>II</t>
  </si>
  <si>
    <t>Chi thường xuyên</t>
  </si>
  <si>
    <t>2</t>
  </si>
  <si>
    <t>V</t>
  </si>
  <si>
    <t>Dự phòng ngân sách</t>
  </si>
  <si>
    <t>VI</t>
  </si>
  <si>
    <t>Chi tạo nguồn, điều chỉnh tiền lương</t>
  </si>
  <si>
    <t>B</t>
  </si>
  <si>
    <t>CHI CÁC CHƯƠNG TRÌNH MỤC TIÊU</t>
  </si>
  <si>
    <t>Chi các chương trình mục tiêu quốc gia</t>
  </si>
  <si>
    <t xml:space="preserve">Chi các chương trình mục tiêu, nhiệm vụ </t>
  </si>
  <si>
    <t>3</t>
  </si>
  <si>
    <t>4</t>
  </si>
  <si>
    <t>5</t>
  </si>
  <si>
    <t>6</t>
  </si>
  <si>
    <t>7</t>
  </si>
  <si>
    <t>8</t>
  </si>
  <si>
    <t>9</t>
  </si>
  <si>
    <t>10</t>
  </si>
  <si>
    <t>11</t>
  </si>
  <si>
    <t>12</t>
  </si>
  <si>
    <t>13</t>
  </si>
  <si>
    <t>14</t>
  </si>
  <si>
    <t>15</t>
  </si>
  <si>
    <t>16</t>
  </si>
  <si>
    <t>C</t>
  </si>
  <si>
    <t>CHI CHUYỂN NGUỒN SANG NĂM SAU</t>
  </si>
  <si>
    <t>NỘI DUNG</t>
  </si>
  <si>
    <t>TỔNG CHI NSĐP</t>
  </si>
  <si>
    <t>0</t>
  </si>
  <si>
    <t>Chi quốc phòng</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</si>
  <si>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</si>
  <si>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</si>
  <si>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</si>
  <si>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</si>
  <si>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</si>
  <si>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</si>
  <si>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</si>
  <si>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</si>
  <si>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</si>
  <si>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</si>
  <si>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đầu tư phát triển khác</t>
  </si>
  <si>
    <t>III</t>
  </si>
  <si>
    <t>IV</t>
  </si>
  <si>
    <t>Biểu mẫu số 53</t>
  </si>
  <si>
    <t>Đơn vị : Đồng</t>
  </si>
  <si>
    <t>Bao gồm</t>
  </si>
  <si>
    <t>Ngân sách cấp huyện</t>
  </si>
  <si>
    <t>Ngân sách xã</t>
  </si>
  <si>
    <t>Biểu mẫu số 54</t>
  </si>
  <si>
    <t>Tên đơn vị</t>
  </si>
  <si>
    <t>Tổng số</t>
  </si>
  <si>
    <t>Chi chương trình MTQG</t>
  </si>
  <si>
    <t>Chi chuyển nguồn sang ngân sách năm sau</t>
  </si>
  <si>
    <t>17</t>
  </si>
  <si>
    <t>18</t>
  </si>
  <si>
    <t>19</t>
  </si>
  <si>
    <t>20</t>
  </si>
  <si>
    <t>21</t>
  </si>
  <si>
    <t>22</t>
  </si>
  <si>
    <t>23</t>
  </si>
  <si>
    <t>24</t>
  </si>
  <si>
    <t>25</t>
  </si>
  <si>
    <t>26</t>
  </si>
  <si>
    <t>27</t>
  </si>
  <si>
    <t>CÁC CƠ QUAN, TỔ CHỨC</t>
  </si>
  <si>
    <t>Phòng Nông nghiệp và Phát triển nông thôn</t>
  </si>
  <si>
    <t>Phòng Tư pháp</t>
  </si>
  <si>
    <t>Phòng Tài chính - Kế hoạch</t>
  </si>
  <si>
    <t>Phòng Kinh tế và Hạ tầng</t>
  </si>
  <si>
    <t>Phòng Giáo dục và Đào tạo</t>
  </si>
  <si>
    <t>Phòng Y tế</t>
  </si>
  <si>
    <t>Phòng Lao động - Thương binh và Xã hội</t>
  </si>
  <si>
    <t>Phòng Văn hoá và Thông tin</t>
  </si>
  <si>
    <t>Phòng Tài nguyên và Môi trường</t>
  </si>
  <si>
    <t>Phòng Nội vụ</t>
  </si>
  <si>
    <t>Thanh tra huyện</t>
  </si>
  <si>
    <t>Phòng Dân tộc</t>
  </si>
  <si>
    <t>Huyện uỷ</t>
  </si>
  <si>
    <t>Uỷ ban Mặt trận Tổ quốc huyện</t>
  </si>
  <si>
    <t>Hội Liên hiệp Phụ nữ huyện</t>
  </si>
  <si>
    <t>Hội Nông dân huyện</t>
  </si>
  <si>
    <t>Hội Cựu chiến binh huyện</t>
  </si>
  <si>
    <t>(2) Theo quy định tại Điều 7, Điều 11 Luật NSNN, ngân sách huyện, xã không có nhiệm vụ chi trả lãi vay, chi bổ sung quỹ dự trữ tài chính.</t>
  </si>
  <si>
    <t>(3) Ngân sách xã không có nhiệm vụ chi bổ sung có mục tiêu cho ngân sách cấp dưới.</t>
  </si>
  <si>
    <t>Trong đó</t>
  </si>
  <si>
    <t>Hội Chữ thập đỏ</t>
  </si>
  <si>
    <t>Hội Người cao tuổi</t>
  </si>
  <si>
    <t>Tổng Số</t>
  </si>
  <si>
    <t>Biểu mẫu số 58</t>
  </si>
  <si>
    <t>Tên đơn vị (1)</t>
  </si>
  <si>
    <t>Quyết toán chi</t>
  </si>
  <si>
    <t>Chi CTMTQG</t>
  </si>
  <si>
    <t>Chi chuyển nguồn sang năm sau</t>
  </si>
  <si>
    <t>Chi giáo dục đào tạo dạy nghề</t>
  </si>
  <si>
    <t>TỔNG SỐ</t>
  </si>
  <si>
    <t>Biểu mẫu số 59</t>
  </si>
  <si>
    <t>Đơn vị:Đồng</t>
  </si>
  <si>
    <t>So sách (%)</t>
  </si>
  <si>
    <t>Bổ sung cân đối ngân sách</t>
  </si>
  <si>
    <t>Bổ sung có mục tiêu</t>
  </si>
  <si>
    <t>Gồm</t>
  </si>
  <si>
    <t>Vốn đầu tư để thực hiện các CTMT, nhiệm vụ</t>
  </si>
  <si>
    <t>Vốn sự nghiệp thực hiện các chế độ, chính sách</t>
  </si>
  <si>
    <t>Vốn thực hiện các CTMT quốc gia</t>
  </si>
  <si>
    <t>Vốn ngoài nước</t>
  </si>
  <si>
    <t>Vốn trong nước</t>
  </si>
  <si>
    <t>3=4+5</t>
  </si>
  <si>
    <t>11=12+13</t>
  </si>
  <si>
    <t>17=9/1</t>
  </si>
  <si>
    <t>18=10/2</t>
  </si>
  <si>
    <t>19=11/3</t>
  </si>
  <si>
    <t>20=12/4</t>
  </si>
  <si>
    <t>21=13/5</t>
  </si>
  <si>
    <t>22=14/6</t>
  </si>
  <si>
    <t>23=15/7</t>
  </si>
  <si>
    <t>24=16/8</t>
  </si>
  <si>
    <t>Biểu mẫu số 61</t>
  </si>
  <si>
    <t>So sánh</t>
  </si>
  <si>
    <t>Giảm nghèo bền vững giai đoạn 2016-2020</t>
  </si>
  <si>
    <t>Xây dựng nông thôn mới giai đoạn 2016 - 2020</t>
  </si>
  <si>
    <t>Đầu tư phát triển</t>
  </si>
  <si>
    <t>Kinh phí sự nghiệp</t>
  </si>
  <si>
    <t>Chia ra</t>
  </si>
  <si>
    <t>28</t>
  </si>
  <si>
    <t>29</t>
  </si>
  <si>
    <t>30</t>
  </si>
  <si>
    <t>31</t>
  </si>
  <si>
    <t>32</t>
  </si>
  <si>
    <t>33</t>
  </si>
  <si>
    <t>34</t>
  </si>
  <si>
    <t>35=18/1</t>
  </si>
  <si>
    <t>36=19/2</t>
  </si>
  <si>
    <t>37=20/3</t>
  </si>
  <si>
    <t>38=21/4</t>
  </si>
  <si>
    <t>39=22/5</t>
  </si>
  <si>
    <t>40=23/6</t>
  </si>
  <si>
    <t>41=24/7</t>
  </si>
  <si>
    <t>42=25/8</t>
  </si>
  <si>
    <t>43=26/9</t>
  </si>
  <si>
    <t>44=27/10</t>
  </si>
  <si>
    <t>45=28/11</t>
  </si>
  <si>
    <t>46=29/12</t>
  </si>
  <si>
    <t>47=30/13</t>
  </si>
  <si>
    <t>48=31/14</t>
  </si>
  <si>
    <t>49=32/15</t>
  </si>
  <si>
    <t>50=33/16</t>
  </si>
  <si>
    <t>51=34/17</t>
  </si>
  <si>
    <t>Biểu mẫu số 48</t>
  </si>
  <si>
    <t>Số TT</t>
  </si>
  <si>
    <t xml:space="preserve">Nội dung </t>
  </si>
  <si>
    <t>Tuyệt đối</t>
  </si>
  <si>
    <t>Tương đối</t>
  </si>
  <si>
    <t>3=2-1</t>
  </si>
  <si>
    <t>4=2/1</t>
  </si>
  <si>
    <t>TỔNG NGUỒN THU NSĐP</t>
  </si>
  <si>
    <t>Thu NSĐP được hưởng theo phân cấp</t>
  </si>
  <si>
    <t>Thu NSĐP hưởng 100%</t>
  </si>
  <si>
    <t>Thu NSĐP hưởng từ các khoản thu phân chia</t>
  </si>
  <si>
    <t>Thu bổ sung từ ngân sách cấp trên</t>
  </si>
  <si>
    <t>Thu bổ sung cân đối ngân sách</t>
  </si>
  <si>
    <t>Thu bổ sung có mục tiêu</t>
  </si>
  <si>
    <t>Thu từ quỹ dự trữ tài chính</t>
  </si>
  <si>
    <t>Thu kết dư</t>
  </si>
  <si>
    <t>Thu chuyển nguồn từ năm trước chuyển sang</t>
  </si>
  <si>
    <t>Tổng chi cân đối NSĐP</t>
  </si>
  <si>
    <t xml:space="preserve">Chi đầu tư phát triển </t>
  </si>
  <si>
    <t xml:space="preserve">Chi trả nợ lãi các khoản do chính quyền địa phương vay </t>
  </si>
  <si>
    <t xml:space="preserve">Chi bổ sung quỹ dự trữ tài chính </t>
  </si>
  <si>
    <t>Chi các chương trình mục tiêu</t>
  </si>
  <si>
    <t>Chi các chương trình mục tiêu, nhiệm vụ</t>
  </si>
  <si>
    <t>Chi nộp ngân sách cấp trên</t>
  </si>
  <si>
    <t>KẾT DƯ NSĐP</t>
  </si>
  <si>
    <t>D</t>
  </si>
  <si>
    <t xml:space="preserve">CHI TRẢ NỢ GỐC CỦA NSĐP </t>
  </si>
  <si>
    <t>Từ nguồn vay để trả nợ gốc</t>
  </si>
  <si>
    <t>Từ nguồn bội thu, tăng thu, tiết kiệm chi, kết dư ngân sách cấp tỉnh</t>
  </si>
  <si>
    <t>E</t>
  </si>
  <si>
    <t xml:space="preserve">TỔNG MỨC VAY CỦA NSĐP </t>
  </si>
  <si>
    <t>Vay để bù đắp bội chi</t>
  </si>
  <si>
    <t>Vay để trả nợ gốc</t>
  </si>
  <si>
    <t>G</t>
  </si>
  <si>
    <t>TỔNG MỨC DƯ NỢ VAY  CUỐI NĂM CỦA NSĐP</t>
  </si>
  <si>
    <r>
      <rPr>
        <b/>
        <i/>
        <sz val="14"/>
        <rFont val="Times New Roman"/>
        <family val="1"/>
      </rPr>
      <t>Ghi chú</t>
    </r>
    <r>
      <rPr>
        <i/>
        <sz val="14"/>
        <rFont val="Times New Roman"/>
        <family val="1"/>
      </rPr>
      <t>: (1)</t>
    </r>
    <r>
      <rPr>
        <i/>
        <sz val="12"/>
        <rFont val="Times New Roman"/>
        <family val="1"/>
      </rPr>
      <t>Theo quy định tại Điều 7, Điều 11 và Điều 39 Luật NSNN, ngân sách huyện, xã không có nhiệm vụ chi nghiên cứu khoa học</t>
    </r>
  </si>
  <si>
    <t xml:space="preserve">        và công nghệ, trả lãi vay, chi bổ sung quỹ dự trữ tài chính, bội chi NSĐP, vay và trả nợ gốc vay.</t>
  </si>
  <si>
    <r>
      <rPr>
        <i/>
        <sz val="14"/>
        <rFont val="Times New Roman"/>
        <family val="1"/>
      </rPr>
      <t>Ghi chú:</t>
    </r>
    <r>
      <rPr>
        <i/>
        <sz val="12"/>
        <rFont val="Times New Roman"/>
        <family val="1"/>
      </rPr>
      <t>(1) Chi đầu tư phát triển ngân sách cấp tỉnh tăng tương ứng với số bội chi (nếu có); giảm tương ứng với số bội thu và chi trả nợ lãi (nếu có).</t>
    </r>
  </si>
  <si>
    <r>
      <rPr>
        <i/>
        <sz val="14"/>
        <rFont val="Times New Roman"/>
        <family val="1"/>
      </rPr>
      <t xml:space="preserve">      (2)</t>
    </r>
    <r>
      <rPr>
        <i/>
        <sz val="12"/>
        <rFont val="Times New Roman"/>
        <family val="1"/>
      </rPr>
      <t>Theo quy định tại Điều 7, Điều 11 và Điều 39 Luật NSNN, Ngân sách huyện, xã không có nhiệm vụ chi nghiên</t>
    </r>
  </si>
  <si>
    <t xml:space="preserve">        cứu khoa học và công nghệ, trả lãi vay, chi bổ sung quỹ dự trữ tài chính, bội chi NSĐP, vay và trả nợ gốc vay.</t>
  </si>
  <si>
    <t xml:space="preserve">      - Ngân sách xã không có nhiệm vụ chi bổ sung cho ngân sách cấp dưới.</t>
  </si>
  <si>
    <t>Thu viện trợ</t>
  </si>
  <si>
    <t>Biểu mẫu số 50</t>
  </si>
  <si>
    <t>Tổng thu NSNN</t>
  </si>
  <si>
    <t xml:space="preserve">Thu </t>
  </si>
  <si>
    <t>5=3/1</t>
  </si>
  <si>
    <t>6=4/2</t>
  </si>
  <si>
    <t>TỔNG NGUỒN THU NSNN (A+B+C+D)</t>
  </si>
  <si>
    <t>TỔNG THU CÂN ĐỐI NSNN</t>
  </si>
  <si>
    <t>Thu nội địa</t>
  </si>
  <si>
    <t xml:space="preserve">Thu từ khu vực DNNN do trung ương quản lý </t>
  </si>
  <si>
    <t>Thuế giá trị gia tăng</t>
  </si>
  <si>
    <t>Thuế thu nhập doanh nghiệp</t>
  </si>
  <si>
    <t>Thu từ khu vực DNNN do địa phương quản lý</t>
  </si>
  <si>
    <t>Thuế tài nguyên</t>
  </si>
  <si>
    <t xml:space="preserve">Thu từ khu vực doanh nghiệp có vốn đầu tư nước ngoài </t>
  </si>
  <si>
    <t xml:space="preserve">Thu từ khu vực kinh tế ngoài quốc doanh </t>
  </si>
  <si>
    <t>Thuế tiêu thụ đặc biệt hàng nội địa</t>
  </si>
  <si>
    <t>Thuế thu nhập cá nhân</t>
  </si>
  <si>
    <t>Lệ phí trước bạ</t>
  </si>
  <si>
    <t xml:space="preserve">Thu phí, lệ phí </t>
  </si>
  <si>
    <t xml:space="preserve"> Phí và lệ phí trung ương</t>
  </si>
  <si>
    <t xml:space="preserve"> Phí và lệ phí tỉnh</t>
  </si>
  <si>
    <t xml:space="preserve"> Phí và lệ phí huyện</t>
  </si>
  <si>
    <t xml:space="preserve"> Phí và lệ phí xã, phường</t>
  </si>
  <si>
    <t>Thuế sử dụng đất phi nông nghiệp</t>
  </si>
  <si>
    <t>Tiền cho thuê đất, thuê mặt nước</t>
  </si>
  <si>
    <t>Thu tiền sử dụng đất</t>
  </si>
  <si>
    <t>Thu tiền cấp quyền khai thác khoáng sản</t>
  </si>
  <si>
    <t>Thu khác ngân sách</t>
  </si>
  <si>
    <t>Thu tiền phạt</t>
  </si>
  <si>
    <t>Trong đó:</t>
  </si>
  <si>
    <t>+ Phạt VPHC trong lĩnh vực ATGT</t>
  </si>
  <si>
    <t>+ Phạt VPHC do ngành thuế thực hiện</t>
  </si>
  <si>
    <t>Thu tịch thu</t>
  </si>
  <si>
    <t>Thu hồi các khoản chi năm trước</t>
  </si>
  <si>
    <t>Thu tiền cho thuê, bán tài sản khác</t>
  </si>
  <si>
    <t>Thu khác còn lại</t>
  </si>
  <si>
    <t>Thu từ dầu thô</t>
  </si>
  <si>
    <t>Thu từ hoạt động xuất nhập khẩu</t>
  </si>
  <si>
    <t>Thuế xuất khẩu</t>
  </si>
  <si>
    <t>Thuế nhập khẩu</t>
  </si>
  <si>
    <t>Thuế tiêu thụ đặc biệt thu từ hàng hóa nhập khẩu</t>
  </si>
  <si>
    <t>Thuế  bảo vệ môi trường thu từ hàng hóa nhập khẩu</t>
  </si>
  <si>
    <t>Thuế giá trị gia tăng thu từ hàng hóa nhập khẩu</t>
  </si>
  <si>
    <t>Thu khác</t>
  </si>
  <si>
    <t>THU TỪ QUỸ DỰ TRỮ TÀI CHÍNH</t>
  </si>
  <si>
    <t>THU KẾT DƯ NĂM TRƯỚC</t>
  </si>
  <si>
    <t>THU CHUYỂN NGUỒN TỪ NĂM TRƯỚC CHUYỂN SANG</t>
  </si>
  <si>
    <r>
      <rPr>
        <b/>
        <i/>
        <sz val="14"/>
        <rFont val="Times New Roman"/>
        <family val="1"/>
      </rPr>
      <t>Ghi chú</t>
    </r>
    <r>
      <rPr>
        <i/>
        <sz val="14"/>
        <rFont val="Times New Roman"/>
        <family val="1"/>
      </rPr>
      <t>:</t>
    </r>
  </si>
  <si>
    <t xml:space="preserve">(1) Doanh nghiệp nhà nước do trung ương quản lý là doanh nghiệp do bộ, cơ quan ngang bộ, cơ quan thuộc Chính phủ, </t>
  </si>
  <si>
    <t>cơ quan khác ở trung ương đại diện Nhà nước chủ sở hữu 100% vốn điều lệ.</t>
  </si>
  <si>
    <t>(2) Doanh nghiệp nhà nước do địa phương quản lý là doanh nghiệp do Ủy ban nhân dân cấp tỉnh đại diện Nhà nước chủ sở hữu 100% vốn điều lệ.</t>
  </si>
  <si>
    <t xml:space="preserve">(3) Doanh nghiệp có vốn đầu tư nước ngoài là các doanh nghiệp mà phần vốn do tổ chức, cá nhân nước ngoài sở hữu từ 51% vốn điều lệ trở lên </t>
  </si>
  <si>
    <t xml:space="preserve">   hoặc có đa số thành viên hợp danh là cá nhân nước ngoài đối với tổ chức kinh tế là công ty hợp danh.</t>
  </si>
  <si>
    <t>(4) Doanh nghiệp khu vực kinh tế ngoài quốc doanh là các doanh nghiệp thành lập theo Luật doanh nghiệp, Luật các tổ chức tín dụng,</t>
  </si>
  <si>
    <t xml:space="preserve">  trừ các doanh nghiệp nhà nước do trung ương, địa phương quản lý, doanh nghiệp có vốn đầu tư nước ngoài nêu trên.</t>
  </si>
  <si>
    <t>(5) Thu ngân sách nhà nước trên địa bàn, thu ngân sách địa phương cấp huyện, xã không có thu từ cổ tức,</t>
  </si>
  <si>
    <t>lợi nhuận được chia của Nhà nước và lợi nhuận sau thuế còn lại sau khi trích lập các quỹ của doanh nghiệp nhà nước, chênh lệch thu, chi Ngân hàng Nhà nước,</t>
  </si>
  <si>
    <t xml:space="preserve"> thu từ dầu thô, thu từ hoạt động xuất, nhập khẩu. Thu chênh lệch thu, chi Ngân hàng Nhà nước chỉ áp dụng đối với thành phố Hà Nội.</t>
  </si>
  <si>
    <t>Thị trấn Đắk Glei</t>
  </si>
  <si>
    <t>Xã Đắk Plô</t>
  </si>
  <si>
    <t>Xã Đắk Man</t>
  </si>
  <si>
    <t>Xã Đắk Nhoong</t>
  </si>
  <si>
    <t>Xã Đắk Pék</t>
  </si>
  <si>
    <t>Xã Đắk Choong</t>
  </si>
  <si>
    <t>Xã Xốp</t>
  </si>
  <si>
    <t>Xã Mường Hoong</t>
  </si>
  <si>
    <t>Xã Ngọc Linh</t>
  </si>
  <si>
    <t>Xã Đắk Long</t>
  </si>
  <si>
    <t>Xã Đắk Môn</t>
  </si>
  <si>
    <t>Thuế sử dụng đất nông nghiệp</t>
  </si>
  <si>
    <t>Chi bổ sung quỹ dự trữ tài chính</t>
  </si>
  <si>
    <t>Thu từ bán tài sản nhà nước</t>
  </si>
  <si>
    <t>Mẫu biểu số 52</t>
  </si>
  <si>
    <t>Chi bổ sung cân đối cho ngân sách cấp dưới</t>
  </si>
  <si>
    <t>Chi ngân sách cấp huyện theo lĩnh vực</t>
  </si>
  <si>
    <t>Chương trình MTQG giảm nghèo bền vững</t>
  </si>
  <si>
    <t>Chương trình MTQG xây dựng nông thôn mới</t>
  </si>
  <si>
    <t>CHI NỘP NGÂN SÁCH CẤP TRÊN</t>
  </si>
  <si>
    <t>Tương đối (%)</t>
  </si>
  <si>
    <t>So sánh QT/DT</t>
  </si>
  <si>
    <t>NSĐP</t>
  </si>
  <si>
    <t>Chi đầu tư từ nguồn thu tiền sử dụng đất</t>
  </si>
  <si>
    <t>Ban QLDA Đầu tư xây dựng huyện</t>
  </si>
  <si>
    <t>Trung tâm Văn hóa - Thể thao - Du lịch và Truyền thông</t>
  </si>
  <si>
    <t>Trung tâm Dịch vụ nông nghiệp</t>
  </si>
  <si>
    <t xml:space="preserve">Hội nạn nhân chất độc dacam/Dioxin </t>
  </si>
  <si>
    <t xml:space="preserve">Hội Cựu thanh niên xung phong </t>
  </si>
  <si>
    <t>Hội khuyến học</t>
  </si>
  <si>
    <t>Ban chỉ huy Quân sự huyện</t>
  </si>
  <si>
    <t>Công an huyện</t>
  </si>
  <si>
    <t>Hạt Kiểm lâm</t>
  </si>
  <si>
    <t>Trung tâm Y tế huyện</t>
  </si>
  <si>
    <t>Trường Phổ thông Dân dộc nội trú huyện</t>
  </si>
  <si>
    <t xml:space="preserve">Trường Trung học Phổ thông Lương Thế Vinh </t>
  </si>
  <si>
    <t>Cấp vốn ủy thác qua Ngân hàng Chính sách xã hội</t>
  </si>
  <si>
    <t>35</t>
  </si>
  <si>
    <t>37</t>
  </si>
  <si>
    <t>38</t>
  </si>
  <si>
    <t>39</t>
  </si>
  <si>
    <t>40</t>
  </si>
  <si>
    <t>41</t>
  </si>
  <si>
    <t>42</t>
  </si>
  <si>
    <t>43</t>
  </si>
  <si>
    <t>44</t>
  </si>
  <si>
    <t>45</t>
  </si>
  <si>
    <t>Trung tâm bồi dưỡng Chính trị</t>
  </si>
  <si>
    <t>Trung tâm giáo dục nghề nghiệp - GDTX</t>
  </si>
  <si>
    <t>Trường Mầm non xã Mường Hoong</t>
  </si>
  <si>
    <t>Trường Mầm non xã Xốp</t>
  </si>
  <si>
    <t>Trường Mầm non xã Đăk Choong</t>
  </si>
  <si>
    <t>Trường Mầm non xã Đăk Man</t>
  </si>
  <si>
    <t>Trường Mầm non thị trấn Đăk Glei</t>
  </si>
  <si>
    <t>Trường Mầm non xã Đăk Kroong</t>
  </si>
  <si>
    <t>Trường Mầm non xã Ngọc Linh</t>
  </si>
  <si>
    <t>Trường Mầm non xã Đăk Môn</t>
  </si>
  <si>
    <t>Trường Mầm non xã Đăk Nhoong</t>
  </si>
  <si>
    <t>Trường Mầm non xã Đăk Pék</t>
  </si>
  <si>
    <t>Trường Mầm non xã Đăk Long</t>
  </si>
  <si>
    <t>Trường Tiểu học Kim Đồng</t>
  </si>
  <si>
    <t>Trường Tiểu học xã Mường Hoong</t>
  </si>
  <si>
    <t>Trường Tiểu học xã Ngọc Linh</t>
  </si>
  <si>
    <t>Trường Tiểu học xã Đăk Kroong</t>
  </si>
  <si>
    <t>Trường PTDTBT-TH xã Đăk Choong</t>
  </si>
  <si>
    <t>Trường Tiểu học Võ Thị Sáu</t>
  </si>
  <si>
    <t>Trường Tiểu học xã Đăk Long</t>
  </si>
  <si>
    <t>Trường Tiểu học xã Đăk Môn</t>
  </si>
  <si>
    <t>Trường Tiểu học thị trấn Đăk Glei</t>
  </si>
  <si>
    <t>Trường Tiểu học và THCS Lý Tự Trọng</t>
  </si>
  <si>
    <t>Trường PTDTBT-THCS xã Mường Hoong</t>
  </si>
  <si>
    <t>Trường THCS thị trấn Đăk Glei</t>
  </si>
  <si>
    <t>Trường PTDTBT-THCS xã Đăk Choong</t>
  </si>
  <si>
    <t>Trường PTDTBT-THCS xã Ngọc Linh</t>
  </si>
  <si>
    <t>Trường THCS xã Đăk Kroong</t>
  </si>
  <si>
    <t>Trường THCS xã Đăk Môn</t>
  </si>
  <si>
    <t>Trường PTDTBT-THCS xã Đăk Long</t>
  </si>
  <si>
    <t>Trung tâm HTCĐ thị trấn Đăk Glei</t>
  </si>
  <si>
    <t>Trung tâm HTCĐ xã Đăk Kroong</t>
  </si>
  <si>
    <t>Trung tâm HTCĐ xã Đăk Môn</t>
  </si>
  <si>
    <t>Trung tâm HTCĐ xã Đăk Long</t>
  </si>
  <si>
    <t>Trung tâm HTCĐ xã Đăk Nhoong</t>
  </si>
  <si>
    <t>Trung tâm HTCĐ xã Đăk Man</t>
  </si>
  <si>
    <t>Trung tâm HTCĐ xã Đăk Blô</t>
  </si>
  <si>
    <t>Trung tâm HTCĐ xã Đăk Choong</t>
  </si>
  <si>
    <t>Trung tâm HTCĐ xã Xốp</t>
  </si>
  <si>
    <t>Trung tâm HTCĐ xã Mường Hoong</t>
  </si>
  <si>
    <t>Trung tâm HTCĐ xã Ngọc Linh</t>
  </si>
  <si>
    <t>46</t>
  </si>
  <si>
    <t>47</t>
  </si>
  <si>
    <t>48</t>
  </si>
  <si>
    <t>49</t>
  </si>
  <si>
    <t>50</t>
  </si>
  <si>
    <t>51</t>
  </si>
  <si>
    <t>52</t>
  </si>
  <si>
    <t>53</t>
  </si>
  <si>
    <t>54</t>
  </si>
  <si>
    <t>56</t>
  </si>
  <si>
    <t>57</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</si>
  <si>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</si>
  <si>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</si>
  <si>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</si>
  <si>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</si>
  <si>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</si>
  <si>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</si>
  <si>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</si>
  <si>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</si>
  <si>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</si>
  <si>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</si>
  <si>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</si>
  <si>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</si>
  <si>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</si>
  <si>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</si>
  <si>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</si>
  <si>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</si>
  <si>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</si>
  <si>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</si>
  <si>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</si>
  <si>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</si>
  <si>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</si>
  <si>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</si>
  <si>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</si>
  <si>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</si>
  <si>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</si>
  <si>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</si>
  <si>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</si>
  <si>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</si>
  <si>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</si>
  <si>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</si>
  <si>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</si>
  <si>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</si>
  <si>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Phân hiệu Trường THPT Lương Thế Vinh</t>
  </si>
  <si>
    <t>Trường Mầm non xã Đăk Plô</t>
  </si>
  <si>
    <t>Thị trấn Đăk Glei</t>
  </si>
  <si>
    <t>Xã Đăk Kroong</t>
  </si>
  <si>
    <t>Xã Đăk Môn</t>
  </si>
  <si>
    <t>Xã Đăk Long</t>
  </si>
  <si>
    <t>Xã Đăk Nhoong</t>
  </si>
  <si>
    <t>Xã Đăk Man</t>
  </si>
  <si>
    <t>Xã Đăk Choong</t>
  </si>
  <si>
    <t>91</t>
  </si>
  <si>
    <t>92</t>
  </si>
  <si>
    <t>93</t>
  </si>
  <si>
    <t>94</t>
  </si>
  <si>
    <t>95</t>
  </si>
  <si>
    <t>96</t>
  </si>
  <si>
    <t>97</t>
  </si>
  <si>
    <t>98</t>
  </si>
  <si>
    <t>Ban Tiếp công dân</t>
  </si>
  <si>
    <t>DỰ PHÒNG NGÂN SÁCH</t>
  </si>
  <si>
    <t>CHI TẠO NGUỒN, ĐIỀU CHỈNH TIỀN LƯƠNG</t>
  </si>
  <si>
    <t>Xã Đăk Pék</t>
  </si>
  <si>
    <t>Chi chuyển nguồn sang NS năm sau</t>
  </si>
  <si>
    <t>ĐỊA PHƯƠNG</t>
  </si>
  <si>
    <t>Xã Đắk Kroong</t>
  </si>
  <si>
    <t>Dự toán (1)</t>
  </si>
  <si>
    <t>Biểu mẫu số 51</t>
  </si>
  <si>
    <r>
      <t xml:space="preserve">Dự toán </t>
    </r>
    <r>
      <rPr>
        <b/>
        <vertAlign val="superscript"/>
        <sz val="11"/>
        <color theme="1"/>
        <rFont val="Arial"/>
        <family val="2"/>
        <charset val="163"/>
      </rPr>
      <t>(*)</t>
    </r>
  </si>
  <si>
    <t>16=5/1</t>
  </si>
  <si>
    <t>17=6/2</t>
  </si>
  <si>
    <t>18=9/3</t>
  </si>
  <si>
    <t>Chi CT MTQG</t>
  </si>
  <si>
    <t>1=2+3</t>
  </si>
  <si>
    <t>4=5+6</t>
  </si>
  <si>
    <t>7=4/1</t>
  </si>
  <si>
    <t>8=5/2</t>
  </si>
  <si>
    <t>9=6/3</t>
  </si>
  <si>
    <t>3=2/1</t>
  </si>
  <si>
    <t>Huyện Đoàn Thanh niên CSHCM</t>
  </si>
  <si>
    <t>Văn phòng HĐND và UBND huyện</t>
  </si>
  <si>
    <t>Chuyển nguồn từ năm trước sang</t>
  </si>
  <si>
    <t>Tiền cho thuê và tiền bán nhà thuộc sở hữu nhà nước</t>
  </si>
  <si>
    <t>*</t>
  </si>
  <si>
    <t>Vốn NN</t>
  </si>
  <si>
    <t>Xây dựng Nông thôn mới giai đoạn 2016 - 2020</t>
  </si>
  <si>
    <t>Trường THCS xã Đăk Pék</t>
  </si>
  <si>
    <t>Trường Tiểu học-THCS xã Đăk Nhoong</t>
  </si>
  <si>
    <t>Trường Tiểu học-THCS xã Đăk Man</t>
  </si>
  <si>
    <t>Trường Tiểu học-THCS xã Xốp</t>
  </si>
  <si>
    <t>Xã Đăk Plô</t>
  </si>
  <si>
    <t>36</t>
  </si>
  <si>
    <t>55</t>
  </si>
  <si>
    <t>58</t>
  </si>
  <si>
    <t>So sánh (*)</t>
  </si>
  <si>
    <t>Ghi chú: (*) Số quyết toán tăng so với số dự toán giao đầu năm do trong năm được cấp có thẩm quyền giao bổ sung dự toán, nguồn năm trước chuyển sang, nguồn tăng thu NSĐP, nguồn kết dư ngân sách, ....</t>
  </si>
  <si>
    <t>QUYẾT TOÁN CÂN ĐỐI NGÂN SÁCH ĐỊA PHƯƠNG NĂM 2021</t>
  </si>
  <si>
    <t>QUYẾT TOÁN CHI NGÂN SÁCH ĐỊA PHƯƠNG THEO LĨNH VỰC NĂM 2021</t>
  </si>
  <si>
    <t>QUYẾT TOÁN NGUỒN THU NGÂN SÁCH NHÀ NƯỚC TRÊN ĐỊA BÀN THEO LĨNH VỰC NĂM 2021</t>
  </si>
  <si>
    <t>+ Thuê tài nguyên nước</t>
  </si>
  <si>
    <t>+ Thuê tài nguyên khác</t>
  </si>
  <si>
    <t>+ Thuê tài nguyên rừng</t>
  </si>
  <si>
    <t>(*) bao gồm ngân sách cấp huyện và ngân sách cấp xã; Dự toán do Hội đồng nhân dân huyện quyết định</t>
  </si>
  <si>
    <t>Quyết toán năm 2021</t>
  </si>
  <si>
    <t>QUYẾT TOÁN CHI NGÂN SÁCH CẤP HUYỆN CHO TỪNG CƠ QUAN, TỔ CHỨC THEO LĨNH VỰC NĂM 2021</t>
  </si>
  <si>
    <t>Tòa án nhân dân huyện Đăk Glei</t>
  </si>
  <si>
    <t>Nộp trả nguồn NSTW theo kiến nghị của Thanh tra Ủy ban Dân tộc</t>
  </si>
  <si>
    <t>Trường Tiểu học - THCS xã Đăk Plô</t>
  </si>
  <si>
    <t>Trung tâm HTCĐ xã Đăk Pék</t>
  </si>
  <si>
    <t>Chi Dự phòng, chi bổ sung cho ngân sách xã</t>
  </si>
  <si>
    <t>Ghi chú: (*) Số quyết toán tăng so với số dự toán giao đầu năm do trong năm được cấp có thẩm quyền giao bổ sung dự toán, nguồn năm trước chuyển sang, nguồn tăng thu NSĐP,  ....</t>
  </si>
  <si>
    <t>Trong đó: Chia theo nguồn vốn</t>
  </si>
  <si>
    <t>Trong đó: Chia theo lĩnh vực</t>
  </si>
  <si>
    <t>II.1</t>
  </si>
  <si>
    <t>Mục tiêu, nhiệm vụ vốn đầu tư</t>
  </si>
  <si>
    <t>II.2</t>
  </si>
  <si>
    <t>Mục tiêu, nhiệm vụ vốn sự nghiệp</t>
  </si>
  <si>
    <t>Vốn đầu tư</t>
  </si>
  <si>
    <t>Vốn sự nghiệp</t>
  </si>
  <si>
    <t>Phân cấp hỗ trợ nông thôn mới (ưu tiên giáo dục và đào tạo)</t>
  </si>
  <si>
    <t>Trường THCS Đăk Pék</t>
  </si>
  <si>
    <t>Trường Tiểu học xã Mường Hoong (điểm trường chính) Hạng mục: Sửa chữa nhà học 02 tầng  xây mới 02 phòng ở  nhà bếp bán trú và hạng mục phụ trợ</t>
  </si>
  <si>
    <t>Nguồn xổ số kiến thiết</t>
  </si>
  <si>
    <t>Trường PTDTBT THCS xã Đăk Long</t>
  </si>
  <si>
    <t>Nguồn phân cấp hỗ trợ đầu tư các công trình cấp bách</t>
  </si>
  <si>
    <t>Đường và cầu bê tông cốt thép qua sông Pô Kô thị trấn Đăk Glei, huyện Đăk Glei  tỉnh Kon Tum (giai đoạn 1).</t>
  </si>
  <si>
    <t>Nâng cấp  cải tạo Đài truyền thanh - truyền hình huyện Đăk Glei</t>
  </si>
  <si>
    <t>Nguồn thu tiền sử dụng đất chi thực hiện công tác quy hoạch, đo đạc, đăng ký quản lý đất đai, cấp giấy chứng nhận, xây dựng cơ sở, đăng ký biến động, chỉnh lý hồ sơ địa chính và lập quy hoạch, kế hoạch sử dụng đất</t>
  </si>
  <si>
    <t>KP lập Quy hoạch sử dụng đất thời kỳ 2021-2030 huyện Đăk Glei</t>
  </si>
  <si>
    <t>Nguồn tăng thu, tiết kiệm chi ngân sách tỉnh bổ sung</t>
  </si>
  <si>
    <t>Dự án hỗ trợ trồng rừng sản xuất trên đất trống  đồi núi  đá bạc màu trên địa huyền Đăk Glei năm 2021</t>
  </si>
  <si>
    <t>Chi đầu tư và hỗ trợ vốn cho các doanh nghiệp cung cấp sản phẩm, dịch vụ công ích do Nhà nước đặt hàng, các tổ chức kinh tế, các tổ chức tài chính của địa phương theo quy định của pháp luật</t>
  </si>
  <si>
    <t>Trường Tiểu học xã Mường Hoong điểm trường thôn Ngọc Lâng</t>
  </si>
  <si>
    <t>Xây dựng vườn ươm giống dược liệu tại địa bàn xã Mường Hoong</t>
  </si>
  <si>
    <t>Đầu tư cơ sở vật chất, trang thiết bị, máy lọc nước tại các trường học trên địa bàn xã Mường Hoong và xã Ngọc Linh</t>
  </si>
  <si>
    <t>Kinh phí thực hiện Nghị định 105/2020/NĐ-CP ngày 08/9/2020 của Chính phủ quy định chính sách phát triển giáo dục mầm non</t>
  </si>
  <si>
    <t>Học bổng và phương tiện học tập cho học sinh khuyết tật theo TTLT số 42/2013/TTLT-BGDĐT-BLĐTBXH-BTC</t>
  </si>
  <si>
    <t>Kinh phí mua thẻ BHYT cho các đối tượng cựu chiến binh, thanh niên xung phong</t>
  </si>
  <si>
    <t>Kinh phí mua thẻ BHYT cho các đối tượng bảo trợ xã hội</t>
  </si>
  <si>
    <t>Kinh phí thực hiện chính sách đối với người có uy tín trong đồng bào dân tộc thiểu số</t>
  </si>
  <si>
    <t>Kinh phí thực hiện chính sách trợ giúp xã hội đối với đối tượng bảo trợ xã hội theo Nghị định 136/2013/NĐ-CP và 20/2021/NĐ-CP</t>
  </si>
  <si>
    <t>Bổ sung kinh phí thực hiện nhiệm vụ đảm bảo trật tự an toàn giao thông</t>
  </si>
  <si>
    <t>Kinh phí thực hiện chính sách cấp bù, miễn thu thủy lợi phí (dịch vụ công ích thủy lợi)</t>
  </si>
  <si>
    <t xml:space="preserve">* </t>
  </si>
  <si>
    <t>Từ ngân sách Trung ương</t>
  </si>
  <si>
    <t>**</t>
  </si>
  <si>
    <t>Từ ngân sách tỉnh</t>
  </si>
  <si>
    <t>Hỗ trợ tăng cường cơ sở vật chất, trang thiết bị dạy học và sự nghiệp giáo dục khác</t>
  </si>
  <si>
    <t>Kinh phí hỗ trợ học bổng và phương tiện học tập cho học sinh khuyết tật theo theo Thông tư liên tịch số 42/2013/TTLT-BGDĐT-BLĐTBXH-BTC</t>
  </si>
  <si>
    <t>Kinh phí thực hiện chính sách hỗ trợ học sinh và trường phổ thông ở xã, thôn ĐBKK theo Nghị định 116/2016/NĐ-CP</t>
  </si>
  <si>
    <t>Hỗ trợ bổ sung lương biên chế giáo viên mầm non</t>
  </si>
  <si>
    <t>Hỗ trợ tăng chi sự nghiệp môi trường</t>
  </si>
  <si>
    <t>Sửa chữa cầu treo</t>
  </si>
  <si>
    <t>Kinh phí tăng cường an ninh quốc phòng, quan hệ đối ngoại biên giới</t>
  </si>
  <si>
    <t>Bổ sung kinh phí thăm chúc Tết Nguyên đán các xã biên giới và xã ĐBKK</t>
  </si>
  <si>
    <t>Kinh phí Cuộc vận động "Toàn dân đoàn kết xây dựng nông thôn mới, đô thị văn minh" (bổ sung cho đủ mức chi theo Nghị quyết 16/2018/NQ-HĐND của HĐND tỉnh)</t>
  </si>
  <si>
    <t>Bổ sung do điều chỉnh biên chế từ Sở Nông nghiệp và PTNT về huyện (Quỹ lương và chi khác)</t>
  </si>
  <si>
    <t>Kinh phí thực hiện Đề án mạng lưới thú y</t>
  </si>
  <si>
    <t>Kinh phí Đại hội các tổ chức đoàn thể và Đại hội khác</t>
  </si>
  <si>
    <t>Hỗ trợ đô thị mới được công nhận loại 5</t>
  </si>
  <si>
    <t>Hỗ trợ tiền ăn cho những người hoạt động không chuyên trách ở cấp xã, thôn, làng, tổ dân phố tham gia các lớp đào tạo, bồi dưỡng năm 2019 theo Thông tư 36/2018/TT-BTC</t>
  </si>
  <si>
    <t>Hỗ trợ kinh phí mua sắm tài sản và sửa chữa xe ô tô, tài sản khác</t>
  </si>
  <si>
    <t>Kinh phí thực hiện nhiệm vụ quy hoạch</t>
  </si>
  <si>
    <t>Kinh phí thực hiện chế độ mai táng phí cho các đối tượng</t>
  </si>
  <si>
    <t>Hỗ trợ chi thường xuyên khác cho NS huyện, xã chưa cân đối được nguồn (trừ sự nghiệp GD-ĐT, KHCN và MT)</t>
  </si>
  <si>
    <t>Hỗ trợ hụt chi thường xuyên</t>
  </si>
  <si>
    <t>Kinh phí thực hiện chinh sách quy định tại Nghị định 86/2015/NĐ-CP và Nghị định 81/2021/NĐ-CP</t>
  </si>
  <si>
    <t>Kinh phí thực hiện chinh sách hỗ trợ học sinh và trường phổ thông ở xã, thôn đặc biệt khó khăn Nghị định 116/2016/NĐ-CP</t>
  </si>
  <si>
    <t xml:space="preserve">Kinh phí thực hiện các chính sách quy định tại Nghị định 105/2020/NĐ-CP ngày 08/9/2020 của Chính phủ </t>
  </si>
  <si>
    <t>Kinh phí hỗ trợ hộ nghèo, hộ cận nghèo đón Tết Nguyên đán Tân Sửu 2021</t>
  </si>
  <si>
    <t>Kinh phí phục vụ bầu cử Quốc hội và Đại biểu HĐND các cấp</t>
  </si>
  <si>
    <t>Kinh phí thực hiện chính sách hỗ trợ bảo vệ, phát triển đất trồng lúa năm 2021</t>
  </si>
  <si>
    <t>Kinh phí thực hiện chế độ, chính sách tỉnh giản biên chế đợt 2 năm 2020</t>
  </si>
  <si>
    <t>Kinh phí thực hiện chế độ, chính sách tỉnh giản biên chế đợt 2 năm 2021</t>
  </si>
  <si>
    <t>Kinh phí thực hiện chế độ, chính sách tỉnh giản biên chế đợt 1 năm 2021</t>
  </si>
  <si>
    <t>Kinh phí mua vắc xin và tổ chức phòng, chống dịch Viêm da nổi cục trên trâu, bò</t>
  </si>
  <si>
    <t>KP chi sự nghiệp quản lý đất đai trên địa bàn: Đo đạc, cấp giấy chứng nhận QSD đất, chỉnh lý hồ sơ địa chính, lập quy hoạch sử dụng đất cấp huyện thời kỳ 2021-2030, ...)</t>
  </si>
  <si>
    <t>KP tổ chức đại biểu HĐND tỉnh tiếp xúc cử tri và Chuyên mục "Diễn đàn cử tri" năm 2021</t>
  </si>
  <si>
    <t>Kinh phí hỗ trợ trang bị các bộ công chiêng, trống cho các thôn, làng đồng bào DTTS không có cồng chiêng</t>
  </si>
  <si>
    <t>Kinh phí phòng, chống dịch Covid-19</t>
  </si>
  <si>
    <t>QUYẾT TOÁN CHI NGÂN SÁCH CẤP HUYỆN THEO LĨNH VỰC NĂM 2021</t>
  </si>
  <si>
    <t>Chi Y tế, dân số và gia đình</t>
  </si>
  <si>
    <t xml:space="preserve">Chi An ninh </t>
  </si>
  <si>
    <t>Chi Quốc phòng</t>
  </si>
  <si>
    <t>Khác ngân sách</t>
  </si>
  <si>
    <t>Dự toán năm 2021</t>
  </si>
  <si>
    <t>QUYẾT TOÁN CHI NGÂN SÁCH ĐỊA PHƯƠNG, CHI NGÂN SÁCH CẤP HUYỆN VÀ CHI NGÂN SÁCH XÃ THEO CƠ CẤU CHI NĂM 2021</t>
  </si>
  <si>
    <t>Kinh phí thực hiện chính sách trợ giúp xã hội đối với đối tượng bảo trợ xã hội theo Nghị định 136/ 2013/NĐ-CP và 20/2021/NĐ-CP</t>
  </si>
  <si>
    <t>Kinh phí thực hiện chính sách hỗ trợ tiền điện hộ nghèo, hộ chính sách xã hội (bao gồm truy lĩnh các năm trước theo kiến nghị của KTNN)</t>
  </si>
  <si>
    <t>Chi bổ sung cho ngân sách cấp dưỡi, chi nộp ngân sách cấp trên</t>
  </si>
  <si>
    <t>CHI BỔ SUNG CÓ MỤC TIÊU CHO NGÂN SÁCH CẤP DƯỚI</t>
  </si>
  <si>
    <t>QUYẾT TOÁN CHI NGÂN SÁCH ĐỊA PHƯƠNG TỪNG XÃ NĂM 2021</t>
  </si>
  <si>
    <r>
      <rPr>
        <b/>
        <i/>
        <sz val="11"/>
        <color theme="1"/>
        <rFont val="Arial"/>
        <family val="2"/>
        <charset val="163"/>
      </rPr>
      <t>Ghi chú:</t>
    </r>
    <r>
      <rPr>
        <i/>
        <sz val="11"/>
        <color theme="1"/>
        <rFont val="Arial"/>
        <family val="2"/>
        <charset val="163"/>
      </rPr>
      <t xml:space="preserve"> (1) Dự toán giao đầu năm, chưa bao gồm chuyển nguồn từ năm 2020 sang và bổ sung trong năm</t>
    </r>
  </si>
  <si>
    <t>QUYẾT TOÁN CHI CHƯƠNG TRÌNH MỤC TIÊU QUỐC GIA NĂM 2021</t>
  </si>
  <si>
    <t>(Kèm theo Nghị quyết số:         /NQ-HĐND ngày       tháng      năm 2022 của Hội đồng nhân dân huyện Đăk Glei)</t>
  </si>
  <si>
    <t>(Kèm theo Nghị quyết số:         /NQ-HĐND ngày       tháng      năm 2022 của HĐND huyện Đăk Glei)</t>
  </si>
  <si>
    <t>QUYẾT TOÁN CHI BỔ SUNG TỪ NGÂN SÁCH CẤP HUYỆN CHO NGÂN SÁCH TỪNG XÃ  NĂM 2021</t>
  </si>
  <si>
    <r>
      <t xml:space="preserve">Thu NSĐP </t>
    </r>
    <r>
      <rPr>
        <b/>
        <vertAlign val="superscript"/>
        <sz val="14"/>
        <rFont val="Times New Roman"/>
        <family val="1"/>
      </rPr>
      <t xml:space="preserve">(*) </t>
    </r>
  </si>
  <si>
    <r>
      <t xml:space="preserve">Quyết toán </t>
    </r>
    <r>
      <rPr>
        <b/>
        <vertAlign val="superscript"/>
        <sz val="13"/>
        <rFont val="Times New Roman"/>
        <family val="1"/>
      </rPr>
      <t>(*)</t>
    </r>
  </si>
  <si>
    <r>
      <rPr>
        <b/>
        <i/>
        <sz val="11"/>
        <color theme="1"/>
        <rFont val="Arial"/>
        <family val="2"/>
        <charset val="163"/>
      </rPr>
      <t xml:space="preserve">Ghi chú: </t>
    </r>
    <r>
      <rPr>
        <i/>
        <sz val="11"/>
        <color theme="1"/>
        <rFont val="Arial"/>
        <family val="2"/>
        <charset val="163"/>
      </rPr>
      <t>(*) Dự toán giao đầu năm, chưa bao gồm chuyển nguồn từ năm 2020 sang và các nhiệm vụ được bổ sung trong năm</t>
    </r>
  </si>
  <si>
    <r>
      <t xml:space="preserve">Dự toán 2021 </t>
    </r>
    <r>
      <rPr>
        <b/>
        <vertAlign val="superscript"/>
        <sz val="10"/>
        <rFont val="Arial"/>
        <family val="2"/>
        <charset val="163"/>
      </rPr>
      <t>(*)</t>
    </r>
  </si>
  <si>
    <r>
      <t xml:space="preserve">Chi đầu tư phát triển
 </t>
    </r>
    <r>
      <rPr>
        <i/>
        <sz val="10"/>
        <rFont val="Arial"/>
        <family val="2"/>
        <charset val="163"/>
      </rPr>
      <t>(Không kể chương trình MTQG)</t>
    </r>
  </si>
  <si>
    <r>
      <t>Chi thường xuyên</t>
    </r>
    <r>
      <rPr>
        <i/>
        <sz val="10"/>
        <rFont val="Arial"/>
        <family val="2"/>
        <charset val="163"/>
      </rPr>
      <t xml:space="preserve"> 
(Không kể chương trình MTQG)</t>
    </r>
  </si>
  <si>
    <r>
      <t xml:space="preserve">Chi đầu tư phát triển 
</t>
    </r>
    <r>
      <rPr>
        <i/>
        <sz val="10"/>
        <rFont val="Arial"/>
        <family val="2"/>
        <charset val="163"/>
      </rPr>
      <t>(Không kể chương trình MTQG)</t>
    </r>
  </si>
  <si>
    <r>
      <t xml:space="preserve">Chi thường xuyên 
</t>
    </r>
    <r>
      <rPr>
        <i/>
        <sz val="10"/>
        <rFont val="Arial"/>
        <family val="2"/>
        <charset val="163"/>
      </rPr>
      <t>(Không kể chương trình MTQG)</t>
    </r>
  </si>
  <si>
    <r>
      <rPr>
        <b/>
        <i/>
        <sz val="10"/>
        <rFont val="Arial"/>
        <family val="2"/>
        <charset val="163"/>
      </rPr>
      <t xml:space="preserve">Ghi chú: </t>
    </r>
    <r>
      <rPr>
        <i/>
        <sz val="10"/>
        <rFont val="Arial"/>
        <family val="2"/>
        <charset val="163"/>
      </rPr>
      <t>(*) Dự toán bao gồm dự toán giao đầu năm và điều chỉnh, bổ sung trong năm; Dự toán đã tính giảm trừ dự toán giữ lại tiết kiệm theo Nghị quyết 58/NQ-CP</t>
    </r>
  </si>
  <si>
    <t>CHI CHUYỂN NGUỒN SANG NGÂN SÁCH NĂM SAU (**)</t>
  </si>
  <si>
    <t xml:space="preserve">                 (**) Các nội dung chuyển nguồn tập trung, chuyển nguồn tăng thu, tiết kiệm chi và các nguồn khác chưa phân bổ chi tiết.</t>
  </si>
  <si>
    <t>(Kèm theo Nghị quyết số:           /NQ-HĐND ngày       tháng      năm 2022 của HĐND huyện Đăk Glei)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</si>
</sst>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0%"/>
    <numFmt numFmtId="165" formatCode="_(* #,##0.00_);_(* \(#,##0.00\);_(* \-??_);_(@_)"/>
    <numFmt numFmtId="166" formatCode="#,##0_ ;\-#,##0\ "/>
  </numFmts>
  <fonts count="70">
    <font>
      <sz val="11"/>
      <color theme="1"/>
      <name val="Calibri"/>
    </font>
    <font>
      <b/>
      <sz val="10"/>
      <color theme="1"/>
      <name val="Arial"/>
      <family val="2"/>
      <charset val="163"/>
    </font>
    <font>
      <sz val="11"/>
      <color theme="1"/>
      <name val="Calibri"/>
      <family val="2"/>
      <charset val="163"/>
    </font>
    <font>
      <sz val="12"/>
      <name val=".VnTime"/>
      <family val="2"/>
    </font>
    <font>
      <b/>
      <sz val="14"/>
      <name val="Times New Roman"/>
      <family val="1"/>
    </font>
    <font>
      <b/>
      <sz val="12"/>
      <name val="Times New Roman"/>
      <family val="1"/>
    </font>
    <font>
      <sz val="12"/>
      <name val="Times New Roman"/>
      <family val="1"/>
    </font>
    <font>
      <sz val="12"/>
      <name val=".VnTime"/>
      <family val="2"/>
    </font>
    <font>
      <b/>
      <sz val="15"/>
      <name val="Times New Roman"/>
      <family val="1"/>
    </font>
    <font>
      <sz val="14"/>
      <name val="Times New Roman"/>
      <family val="1"/>
    </font>
    <font>
      <i/>
      <sz val="14"/>
      <name val="Times New Roman"/>
      <family val="1"/>
    </font>
    <font>
      <sz val="13"/>
      <name val="Times New Roman"/>
      <family val="1"/>
    </font>
    <font>
      <b/>
      <sz val="11"/>
      <name val="Times New Roman"/>
      <family val="1"/>
    </font>
    <font>
      <b/>
      <sz val="14"/>
      <name val="Times New Romanh"/>
    </font>
    <font>
      <b/>
      <i/>
      <sz val="14"/>
      <name val="Times New Roman"/>
      <family val="1"/>
    </font>
    <font>
      <i/>
      <sz val="12"/>
      <name val="Times New Roman"/>
      <family val="1"/>
    </font>
    <font>
      <b/>
      <u/>
      <sz val="14"/>
      <name val="Times New Roman"/>
      <family val="1"/>
    </font>
    <font>
      <b/>
      <sz val="13"/>
      <name val="Times New Roman"/>
      <family val="1"/>
    </font>
    <font>
      <b/>
      <sz val="14"/>
      <name val="Times New Roman"/>
      <family val="1"/>
      <charset val="163"/>
    </font>
    <font>
      <sz val="10"/>
      <name val="Arial"/>
      <family val="2"/>
    </font>
    <font>
      <i/>
      <sz val="14"/>
      <name val="Times New Roman"/>
      <family val="1"/>
      <charset val="163"/>
    </font>
    <font>
      <sz val="11"/>
      <color theme="1"/>
      <name val="times new roman"/>
      <family val="2"/>
      <charset val="163"/>
    </font>
    <font>
      <b/>
      <sz val="11"/>
      <color theme="1"/>
      <name val="Calibri"/>
      <family val="2"/>
      <charset val="163"/>
    </font>
    <font>
      <b/>
      <sz val="11"/>
      <color theme="1"/>
      <name val="Arial"/>
      <family val="2"/>
      <charset val="163"/>
    </font>
    <font>
      <i/>
      <sz val="11"/>
      <color theme="1"/>
      <name val="Arial"/>
      <family val="2"/>
      <charset val="163"/>
    </font>
    <font>
      <sz val="11"/>
      <color theme="1"/>
      <name val="Arial"/>
      <family val="2"/>
      <charset val="163"/>
    </font>
    <font>
      <b/>
      <i/>
      <sz val="11"/>
      <color theme="1"/>
      <name val="Arial"/>
      <family val="2"/>
      <charset val="163"/>
    </font>
    <font>
      <u/>
      <sz val="14"/>
      <name val="Times New Roman"/>
      <family val="1"/>
      <charset val="163"/>
    </font>
    <font>
      <b/>
      <vertAlign val="superscript"/>
      <sz val="11"/>
      <color theme="1"/>
      <name val="Arial"/>
      <family val="2"/>
      <charset val="163"/>
    </font>
    <font>
      <b/>
      <sz val="16"/>
      <name val="Times New Roman"/>
      <family val="1"/>
    </font>
    <font>
      <sz val="8"/>
      <name val="Calibri"/>
      <family val="2"/>
      <charset val="163"/>
    </font>
    <font>
      <sz val="11"/>
      <name val="Arial"/>
      <family val="2"/>
      <charset val="163"/>
    </font>
    <font>
      <sz val="10"/>
      <name val="Arial"/>
      <family val="2"/>
      <charset val="163"/>
    </font>
    <font>
      <i/>
      <sz val="13"/>
      <name val="Times New Roman"/>
      <family val="1"/>
      <charset val="163"/>
    </font>
    <font>
      <u/>
      <sz val="13"/>
      <name val="Times New Roman"/>
      <family val="1"/>
    </font>
    <font>
      <sz val="15"/>
      <name val="Times New Roman"/>
      <family val="1"/>
    </font>
    <font>
      <i/>
      <sz val="13"/>
      <name val="Times New Roman"/>
      <family val="1"/>
    </font>
    <font>
      <b/>
      <i/>
      <sz val="13"/>
      <name val="Times New Roman"/>
      <family val="1"/>
    </font>
    <font>
      <sz val="8"/>
      <name val="Calibri"/>
      <family val="2"/>
    </font>
    <font>
      <u/>
      <sz val="11"/>
      <color theme="1"/>
      <name val="Times New Roman"/>
      <family val="1"/>
    </font>
    <font>
      <b/>
      <sz val="11"/>
      <color theme="1"/>
      <name val="Times New Roman"/>
      <family val="1"/>
    </font>
    <font>
      <sz val="11"/>
      <color theme="1"/>
      <name val="Times New Roman"/>
      <family val="1"/>
    </font>
    <font>
      <b/>
      <sz val="15"/>
      <color theme="1"/>
      <name val="Times New Roman"/>
      <family val="1"/>
    </font>
    <font>
      <sz val="15"/>
      <color theme="1"/>
      <name val="Times New Roman"/>
      <family val="1"/>
    </font>
    <font>
      <i/>
      <sz val="11"/>
      <color theme="1"/>
      <name val="Times New Roman"/>
      <family val="1"/>
    </font>
    <font>
      <i/>
      <sz val="14"/>
      <color theme="1"/>
      <name val="Times New Roman"/>
      <family val="1"/>
    </font>
    <font>
      <b/>
      <sz val="14"/>
      <color theme="1"/>
      <name val="Times New Roman"/>
      <family val="1"/>
    </font>
    <font>
      <u/>
      <sz val="14"/>
      <name val="Times New Roman"/>
      <family val="1"/>
    </font>
    <font>
      <b/>
      <vertAlign val="superscript"/>
      <sz val="14"/>
      <name val="Times New Roman"/>
      <family val="1"/>
    </font>
    <font>
      <b/>
      <vertAlign val="superscript"/>
      <sz val="13"/>
      <name val="Times New Roman"/>
      <family val="1"/>
    </font>
    <font>
      <i/>
      <sz val="16"/>
      <name val="Times New Roman"/>
      <family val="1"/>
    </font>
    <font>
      <sz val="9"/>
      <color indexed="81"/>
      <name val="Tahoma"/>
      <family val="2"/>
    </font>
    <font>
      <b/>
      <sz val="9"/>
      <color indexed="81"/>
      <name val="Tahoma"/>
      <family val="2"/>
    </font>
    <font>
      <u/>
      <sz val="11"/>
      <name val="Times New Roman"/>
      <family val="1"/>
    </font>
    <font>
      <sz val="11"/>
      <name val="Times New Roman"/>
      <family val="1"/>
    </font>
    <font>
      <i/>
      <sz val="11"/>
      <name val="Times New Roman"/>
      <family val="1"/>
    </font>
    <font>
      <b/>
      <sz val="11"/>
      <name val="Arial"/>
      <family val="2"/>
      <charset val="163"/>
    </font>
    <font>
      <sz val="11"/>
      <name val="Calibri"/>
      <family val="2"/>
      <charset val="163"/>
    </font>
    <font>
      <b/>
      <sz val="10"/>
      <name val="Arial"/>
      <family val="2"/>
      <charset val="163"/>
    </font>
    <font>
      <sz val="11"/>
      <name val="Arial"/>
      <family val="2"/>
    </font>
    <font>
      <b/>
      <sz val="11"/>
      <name val="Calibri"/>
      <family val="2"/>
      <charset val="163"/>
    </font>
    <font>
      <i/>
      <sz val="11"/>
      <name val="Arial"/>
      <family val="2"/>
      <charset val="163"/>
    </font>
    <font>
      <u/>
      <sz val="10"/>
      <name val="Times New Roman"/>
      <family val="1"/>
    </font>
    <font>
      <b/>
      <sz val="10"/>
      <name val="Times New Roman"/>
      <family val="1"/>
    </font>
    <font>
      <sz val="10"/>
      <name val="Times New Roman"/>
      <family val="1"/>
    </font>
    <font>
      <i/>
      <sz val="10"/>
      <name val="Times New Roman"/>
      <family val="1"/>
    </font>
    <font>
      <b/>
      <vertAlign val="superscript"/>
      <sz val="10"/>
      <name val="Arial"/>
      <family val="2"/>
      <charset val="163"/>
    </font>
    <font>
      <i/>
      <sz val="10"/>
      <name val="Arial"/>
      <family val="2"/>
      <charset val="163"/>
    </font>
    <font>
      <b/>
      <i/>
      <sz val="10"/>
      <name val="Arial"/>
      <family val="2"/>
      <charset val="163"/>
    </font>
    <font>
      <u/>
      <sz val="13"/>
      <color theme="1"/>
      <name val="Times New Roman"/>
      <family val="1"/>
    </font>
  </fonts>
  <fills count="4">
    <fill>
      <patternFill patternType="none"/>
    </fill>
    <fill>
      <patternFill patternType="gray125"/>
    </fill>
    <fill>
      <patternFill patternType="solid">
        <fgColor rgb="FFFFFFFF"/>
      </patternFill>
    </fill>
    <fill>
      <patternFill patternType="solid">
        <fgColor indexed="9"/>
        <bgColor indexed="64"/>
      </patternFill>
    </fill>
  </fills>
  <borders count="34">
    <border>
      <left/>
      <right/>
      <top/>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style="hair">
        <color rgb="FF000000"/>
      </bottom>
      <diagonal/>
    </border>
    <border>
      <left/>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7">
    <xf numFmtId="0" fontId="0" fillId="0" borderId="0"/>
    <xf numFmtId="0" fontId="2" fillId="0" borderId="0"/>
    <xf numFmtId="0" fontId="3" fillId="0" borderId="0"/>
    <xf numFmtId="0" fontId="7" fillId="0" borderId="0"/>
    <xf numFmtId="43" fontId="7" fillId="0" borderId="0" applyFont="0" applyFill="0" applyBorder="0" applyAlignment="0" applyProtection="0"/>
    <xf numFmtId="165" fontId="19" fillId="0" borderId="0" applyFill="0" applyBorder="0" applyAlignment="0" applyProtection="0"/>
    <xf numFmtId="0" fontId="21" fillId="0" borderId="0"/>
  </cellStyleXfs>
  <cellXfs count="419">
    <xf numFmtId="0" fontId="0" fillId="0" borderId="0" xfId="0"/>
    <xf numFmtId="0" fontId="4" fillId="0" borderId="0" xfId="2" applyFont="1" applyAlignment="1">
      <alignment horizontal="left"/>
    </xf>
    <xf numFmtId="0" fontId="5" fillId="0" borderId="0" xfId="2" applyFont="1" applyAlignment="1">
      <alignment horizontal="left"/>
    </xf>
    <xf numFmtId="0" fontId="6" fillId="0" borderId="0" xfId="2" applyFont="1" applyAlignment="1">
      <alignment horizontal="centerContinuous"/>
    </xf>
    <xf numFmtId="0" fontId="4" fillId="0" borderId="0" xfId="2" applyFont="1" applyAlignment="1">
      <alignment horizontal="centerContinuous"/>
    </xf>
    <xf numFmtId="0" fontId="6" fillId="0" borderId="0" xfId="2" applyFont="1"/>
    <xf numFmtId="0" fontId="4" fillId="0" borderId="0" xfId="2" quotePrefix="1" applyFont="1" applyAlignment="1">
      <alignment horizontal="centerContinuous"/>
    </xf>
    <xf numFmtId="0" fontId="9" fillId="0" borderId="0" xfId="2" applyFont="1" applyBorder="1"/>
    <xf numFmtId="0" fontId="11" fillId="0" borderId="0" xfId="2" applyFont="1"/>
    <xf numFmtId="0" fontId="4" fillId="0" borderId="4" xfId="2" applyFont="1" applyBorder="1" applyAlignment="1">
      <alignment horizontal="centerContinuous" vertical="center"/>
    </xf>
    <xf numFmtId="0" fontId="12" fillId="0" borderId="4" xfId="2" applyFont="1" applyBorder="1" applyAlignment="1">
      <alignment horizontal="center" vertical="center"/>
    </xf>
    <xf numFmtId="0" fontId="12" fillId="0" borderId="4" xfId="2" quotePrefix="1" applyFont="1" applyBorder="1" applyAlignment="1">
      <alignment horizontal="center" vertical="center"/>
    </xf>
    <xf numFmtId="0" fontId="12" fillId="0" borderId="0" xfId="2" applyFont="1" applyAlignment="1">
      <alignment vertical="center"/>
    </xf>
    <xf numFmtId="0" fontId="4" fillId="0" borderId="5" xfId="2" applyFont="1" applyBorder="1" applyAlignment="1">
      <alignment horizontal="center" vertical="center"/>
    </xf>
    <xf numFmtId="3" fontId="4" fillId="0" borderId="5" xfId="2" applyNumberFormat="1" applyFont="1" applyBorder="1" applyAlignment="1">
      <alignment vertical="center"/>
    </xf>
    <xf numFmtId="3" fontId="4" fillId="0" borderId="6" xfId="2" applyNumberFormat="1" applyFont="1" applyBorder="1" applyAlignment="1">
      <alignment vertical="center"/>
    </xf>
    <xf numFmtId="0" fontId="9" fillId="0" borderId="0" xfId="2" applyFont="1" applyAlignment="1">
      <alignment vertical="center"/>
    </xf>
    <xf numFmtId="0" fontId="4" fillId="0" borderId="6" xfId="2" applyFont="1" applyBorder="1" applyAlignment="1">
      <alignment horizontal="center" vertical="center"/>
    </xf>
    <xf numFmtId="0" fontId="4" fillId="0" borderId="6" xfId="2" applyFont="1" applyBorder="1" applyAlignment="1">
      <alignment vertical="center" wrapText="1"/>
    </xf>
    <xf numFmtId="0" fontId="9" fillId="0" borderId="6" xfId="2" quotePrefix="1" applyFont="1" applyBorder="1" applyAlignment="1">
      <alignment horizontal="center" vertical="center"/>
    </xf>
    <xf numFmtId="0" fontId="9" fillId="0" borderId="6" xfId="2" applyFont="1" applyBorder="1" applyAlignment="1">
      <alignment vertical="center" wrapText="1"/>
    </xf>
    <xf numFmtId="3" fontId="9" fillId="0" borderId="6" xfId="2" applyNumberFormat="1" applyFont="1" applyBorder="1" applyAlignment="1">
      <alignment vertical="center"/>
    </xf>
    <xf numFmtId="0" fontId="10" fillId="0" borderId="0" xfId="2" applyFont="1" applyAlignment="1">
      <alignment vertical="center"/>
    </xf>
    <xf numFmtId="0" fontId="9" fillId="0" borderId="6" xfId="2" applyFont="1" applyBorder="1" applyAlignment="1">
      <alignment horizontal="center" vertical="center"/>
    </xf>
    <xf numFmtId="0" fontId="14" fillId="0" borderId="0" xfId="2" applyFont="1" applyAlignment="1">
      <alignment vertical="center"/>
    </xf>
    <xf numFmtId="0" fontId="6" fillId="0" borderId="0" xfId="2" applyFont="1" applyAlignment="1">
      <alignment vertical="center"/>
    </xf>
    <xf numFmtId="0" fontId="4" fillId="0" borderId="6" xfId="2" applyFont="1" applyFill="1" applyBorder="1" applyAlignment="1">
      <alignment horizontal="center" vertical="center"/>
    </xf>
    <xf numFmtId="3" fontId="9" fillId="0" borderId="6" xfId="2" applyNumberFormat="1" applyFont="1" applyFill="1" applyBorder="1" applyAlignment="1">
      <alignment vertical="center"/>
    </xf>
    <xf numFmtId="0" fontId="6" fillId="0" borderId="0" xfId="2" applyFont="1" applyFill="1" applyAlignment="1">
      <alignment vertical="center"/>
    </xf>
    <xf numFmtId="0" fontId="9" fillId="0" borderId="0" xfId="2" applyFont="1" applyFill="1" applyAlignment="1">
      <alignment vertical="center"/>
    </xf>
    <xf numFmtId="0" fontId="4" fillId="0" borderId="0" xfId="2" applyFont="1" applyFill="1" applyAlignment="1">
      <alignment vertical="center"/>
    </xf>
    <xf numFmtId="0" fontId="4" fillId="0" borderId="6" xfId="2" applyFont="1" applyFill="1" applyBorder="1" applyAlignment="1">
      <alignment vertical="center" wrapText="1"/>
    </xf>
    <xf numFmtId="0" fontId="9" fillId="0" borderId="7" xfId="2" applyFont="1" applyBorder="1" applyAlignment="1">
      <alignment vertical="center"/>
    </xf>
    <xf numFmtId="0" fontId="9" fillId="0" borderId="7" xfId="2" applyFont="1" applyBorder="1" applyAlignment="1">
      <alignment vertical="center" wrapText="1"/>
    </xf>
    <xf numFmtId="3" fontId="9" fillId="0" borderId="7" xfId="2" applyNumberFormat="1" applyFont="1" applyBorder="1" applyAlignment="1">
      <alignment vertical="center"/>
    </xf>
    <xf numFmtId="0" fontId="9" fillId="0" borderId="0" xfId="2" applyFont="1" applyBorder="1" applyAlignment="1">
      <alignment vertical="center"/>
    </xf>
    <xf numFmtId="0" fontId="9" fillId="0" borderId="0" xfId="2" applyFont="1" applyBorder="1" applyAlignment="1">
      <alignment vertical="center" wrapText="1"/>
    </xf>
    <xf numFmtId="3" fontId="9" fillId="0" borderId="0" xfId="2" applyNumberFormat="1" applyFont="1" applyBorder="1" applyAlignment="1">
      <alignment vertical="center"/>
    </xf>
    <xf numFmtId="4" fontId="6" fillId="0" borderId="0" xfId="2" applyNumberFormat="1" applyFont="1" applyBorder="1" applyAlignment="1">
      <alignment vertical="center"/>
    </xf>
    <xf numFmtId="0" fontId="15" fillId="0" borderId="0" xfId="2" applyFont="1"/>
    <xf numFmtId="0" fontId="9" fillId="0" borderId="0" xfId="2" applyFont="1"/>
    <xf numFmtId="0" fontId="10" fillId="0" borderId="0" xfId="2" applyFont="1"/>
    <xf numFmtId="0" fontId="10" fillId="0" borderId="0" xfId="2" quotePrefix="1" applyFont="1"/>
    <xf numFmtId="0" fontId="4" fillId="0" borderId="0" xfId="3" applyFont="1" applyAlignment="1">
      <alignment horizontal="left"/>
    </xf>
    <xf numFmtId="0" fontId="5" fillId="0" borderId="0" xfId="3" applyFont="1" applyAlignment="1">
      <alignment horizontal="centerContinuous"/>
    </xf>
    <xf numFmtId="0" fontId="6" fillId="0" borderId="0" xfId="3" applyFont="1" applyAlignment="1">
      <alignment horizontal="centerContinuous"/>
    </xf>
    <xf numFmtId="0" fontId="4" fillId="0" borderId="0" xfId="3" applyFont="1" applyAlignment="1">
      <alignment horizontal="centerContinuous"/>
    </xf>
    <xf numFmtId="0" fontId="6" fillId="0" borderId="0" xfId="3" applyFont="1"/>
    <xf numFmtId="0" fontId="4" fillId="0" borderId="0" xfId="3" quotePrefix="1" applyFont="1" applyAlignment="1">
      <alignment horizontal="centerContinuous"/>
    </xf>
    <xf numFmtId="0" fontId="10" fillId="0" borderId="0" xfId="3" applyFont="1" applyAlignment="1">
      <alignment horizontal="left"/>
    </xf>
    <xf numFmtId="0" fontId="9" fillId="0" borderId="0" xfId="3" applyFont="1"/>
    <xf numFmtId="0" fontId="10" fillId="0" borderId="0" xfId="3" applyFont="1"/>
    <xf numFmtId="0" fontId="17" fillId="0" borderId="9" xfId="3" applyFont="1" applyBorder="1" applyAlignment="1">
      <alignment horizontal="centerContinuous"/>
    </xf>
    <xf numFmtId="0" fontId="17" fillId="0" borderId="10" xfId="3" applyFont="1" applyBorder="1" applyAlignment="1">
      <alignment horizontal="centerContinuous"/>
    </xf>
    <xf numFmtId="0" fontId="11" fillId="0" borderId="0" xfId="3" applyFont="1"/>
    <xf numFmtId="0" fontId="4" fillId="0" borderId="11" xfId="3" applyFont="1" applyBorder="1" applyAlignment="1">
      <alignment horizontal="centerContinuous"/>
    </xf>
    <xf numFmtId="0" fontId="17" fillId="0" borderId="12" xfId="3" applyFont="1" applyBorder="1" applyAlignment="1">
      <alignment horizontal="center"/>
    </xf>
    <xf numFmtId="0" fontId="17" fillId="0" borderId="13" xfId="3" applyFont="1" applyBorder="1" applyAlignment="1">
      <alignment horizontal="center"/>
    </xf>
    <xf numFmtId="0" fontId="12" fillId="0" borderId="14" xfId="3" applyFont="1" applyBorder="1" applyAlignment="1">
      <alignment horizontal="center" vertical="center"/>
    </xf>
    <xf numFmtId="0" fontId="12" fillId="0" borderId="4" xfId="3" applyFont="1" applyBorder="1" applyAlignment="1">
      <alignment horizontal="center" vertical="center"/>
    </xf>
    <xf numFmtId="0" fontId="12" fillId="0" borderId="12" xfId="3" applyFont="1" applyBorder="1" applyAlignment="1">
      <alignment horizontal="center" vertical="center"/>
    </xf>
    <xf numFmtId="0" fontId="12" fillId="0" borderId="15" xfId="3" applyFont="1" applyBorder="1" applyAlignment="1">
      <alignment horizontal="center" vertical="center"/>
    </xf>
    <xf numFmtId="0" fontId="12" fillId="0" borderId="0" xfId="3" applyFont="1" applyAlignment="1">
      <alignment vertical="center"/>
    </xf>
    <xf numFmtId="0" fontId="4" fillId="0" borderId="5" xfId="2" applyFont="1" applyBorder="1" applyAlignment="1">
      <alignment horizontal="center" vertical="center" wrapText="1"/>
    </xf>
    <xf numFmtId="3" fontId="4" fillId="0" borderId="5" xfId="3" applyNumberFormat="1" applyFont="1" applyBorder="1" applyAlignment="1">
      <alignment horizontal="right" vertical="center"/>
    </xf>
    <xf numFmtId="3" fontId="9" fillId="0" borderId="16" xfId="3" applyNumberFormat="1" applyFont="1" applyBorder="1"/>
    <xf numFmtId="3" fontId="9" fillId="0" borderId="5" xfId="3" applyNumberFormat="1" applyFont="1" applyBorder="1"/>
    <xf numFmtId="3" fontId="4" fillId="0" borderId="6" xfId="3" applyNumberFormat="1" applyFont="1" applyBorder="1" applyAlignment="1">
      <alignment horizontal="right" vertical="center"/>
    </xf>
    <xf numFmtId="3" fontId="16" fillId="0" borderId="17" xfId="3" applyNumberFormat="1" applyFont="1" applyBorder="1"/>
    <xf numFmtId="3" fontId="16" fillId="0" borderId="6" xfId="3" applyNumberFormat="1" applyFont="1" applyBorder="1"/>
    <xf numFmtId="3" fontId="9" fillId="0" borderId="6" xfId="3" applyNumberFormat="1" applyFont="1" applyBorder="1" applyAlignment="1">
      <alignment horizontal="right" vertical="center"/>
    </xf>
    <xf numFmtId="0" fontId="10" fillId="0" borderId="6" xfId="2" quotePrefix="1" applyFont="1" applyBorder="1" applyAlignment="1">
      <alignment horizontal="center" vertical="center"/>
    </xf>
    <xf numFmtId="3" fontId="10" fillId="0" borderId="6" xfId="3" applyNumberFormat="1" applyFont="1" applyBorder="1" applyAlignment="1">
      <alignment horizontal="right" vertical="center"/>
    </xf>
    <xf numFmtId="3" fontId="10" fillId="0" borderId="17" xfId="3" applyNumberFormat="1" applyFont="1" applyBorder="1"/>
    <xf numFmtId="3" fontId="10" fillId="0" borderId="18" xfId="3" applyNumberFormat="1" applyFont="1" applyBorder="1"/>
    <xf numFmtId="3" fontId="9" fillId="0" borderId="17" xfId="3" applyNumberFormat="1" applyFont="1" applyBorder="1"/>
    <xf numFmtId="3" fontId="9" fillId="0" borderId="18" xfId="3" applyNumberFormat="1" applyFont="1" applyBorder="1"/>
    <xf numFmtId="0" fontId="10" fillId="0" borderId="6" xfId="2" quotePrefix="1" applyFont="1" applyBorder="1" applyAlignment="1">
      <alignment vertical="center" wrapText="1"/>
    </xf>
    <xf numFmtId="3" fontId="9" fillId="0" borderId="7" xfId="3" applyNumberFormat="1" applyFont="1" applyBorder="1" applyAlignment="1">
      <alignment horizontal="right" vertical="center"/>
    </xf>
    <xf numFmtId="0" fontId="10" fillId="0" borderId="0" xfId="2" quotePrefix="1" applyFont="1" applyAlignment="1">
      <alignment horizontal="left"/>
    </xf>
    <xf numFmtId="0" fontId="10" fillId="0" borderId="12" xfId="2" quotePrefix="1" applyFont="1" applyBorder="1"/>
    <xf numFmtId="0" fontId="10" fillId="0" borderId="0" xfId="2" quotePrefix="1" applyFont="1" applyBorder="1"/>
    <xf numFmtId="10" fontId="4" fillId="0" borderId="5" xfId="2" applyNumberFormat="1" applyFont="1" applyBorder="1" applyAlignment="1">
      <alignment vertical="center"/>
    </xf>
    <xf numFmtId="10" fontId="4" fillId="0" borderId="6" xfId="2" applyNumberFormat="1" applyFont="1" applyBorder="1" applyAlignment="1">
      <alignment vertical="center"/>
    </xf>
    <xf numFmtId="10" fontId="9" fillId="0" borderId="6" xfId="2" applyNumberFormat="1" applyFont="1" applyBorder="1" applyAlignment="1">
      <alignment vertical="center"/>
    </xf>
    <xf numFmtId="10" fontId="6" fillId="0" borderId="6" xfId="2" applyNumberFormat="1" applyFont="1" applyBorder="1" applyAlignment="1">
      <alignment vertical="center"/>
    </xf>
    <xf numFmtId="10" fontId="6" fillId="0" borderId="7" xfId="2" applyNumberFormat="1" applyFont="1" applyBorder="1" applyAlignment="1">
      <alignment vertical="center"/>
    </xf>
    <xf numFmtId="10" fontId="4" fillId="0" borderId="6" xfId="3" applyNumberFormat="1" applyFont="1" applyBorder="1" applyAlignment="1">
      <alignment horizontal="right" vertical="center"/>
    </xf>
    <xf numFmtId="10" fontId="10" fillId="0" borderId="6" xfId="3" applyNumberFormat="1" applyFont="1" applyBorder="1" applyAlignment="1">
      <alignment horizontal="right" vertical="center"/>
    </xf>
    <xf numFmtId="10" fontId="9" fillId="0" borderId="6" xfId="3" applyNumberFormat="1" applyFont="1" applyBorder="1" applyAlignment="1">
      <alignment horizontal="right" vertical="center"/>
    </xf>
    <xf numFmtId="10" fontId="9" fillId="0" borderId="7" xfId="3" applyNumberFormat="1" applyFont="1" applyBorder="1" applyAlignment="1">
      <alignment horizontal="right" vertical="center"/>
    </xf>
    <xf numFmtId="0" fontId="22" fillId="0" borderId="0" xfId="1" applyFont="1" applyAlignment="1">
      <alignment vertical="center"/>
    </xf>
    <xf numFmtId="0" fontId="2" fillId="0" borderId="0" xfId="1" applyFont="1" applyAlignment="1">
      <alignment vertical="center"/>
    </xf>
    <xf numFmtId="0" fontId="23" fillId="0" borderId="3" xfId="1" applyFont="1" applyBorder="1" applyAlignment="1">
      <alignment horizontal="center" vertical="center" wrapText="1"/>
    </xf>
    <xf numFmtId="0" fontId="25" fillId="0" borderId="20" xfId="1" applyFont="1" applyBorder="1" applyAlignment="1">
      <alignment horizontal="center" vertical="center" wrapText="1"/>
    </xf>
    <xf numFmtId="0" fontId="25" fillId="0" borderId="20" xfId="1" applyFont="1" applyBorder="1" applyAlignment="1">
      <alignment horizontal="left" vertical="center" wrapText="1"/>
    </xf>
    <xf numFmtId="3" fontId="25" fillId="0" borderId="20" xfId="1" applyNumberFormat="1" applyFont="1" applyBorder="1" applyAlignment="1">
      <alignment horizontal="right" vertical="center" wrapText="1"/>
    </xf>
    <xf numFmtId="0" fontId="25" fillId="0" borderId="21" xfId="1" applyFont="1" applyBorder="1" applyAlignment="1">
      <alignment horizontal="left" vertical="center" wrapText="1"/>
    </xf>
    <xf numFmtId="3" fontId="25" fillId="0" borderId="21" xfId="1" applyNumberFormat="1" applyFont="1" applyBorder="1" applyAlignment="1">
      <alignment horizontal="right" vertical="center" wrapText="1"/>
    </xf>
    <xf numFmtId="0" fontId="25" fillId="0" borderId="0" xfId="1" applyFont="1" applyBorder="1" applyAlignment="1">
      <alignment horizontal="left" vertical="center" wrapText="1"/>
    </xf>
    <xf numFmtId="3" fontId="25" fillId="0" borderId="0" xfId="1" applyNumberFormat="1" applyFont="1" applyBorder="1" applyAlignment="1">
      <alignment horizontal="right" vertical="center" wrapText="1"/>
    </xf>
    <xf numFmtId="0" fontId="2" fillId="0" borderId="0" xfId="1" applyFont="1" applyBorder="1" applyAlignment="1">
      <alignment vertical="center" wrapText="1"/>
    </xf>
    <xf numFmtId="0" fontId="25" fillId="0" borderId="21" xfId="1" applyFont="1" applyBorder="1" applyAlignment="1">
      <alignment horizontal="center" vertical="center" wrapText="1"/>
    </xf>
    <xf numFmtId="0" fontId="22" fillId="0" borderId="23" xfId="1" applyFont="1" applyBorder="1" applyAlignment="1">
      <alignment horizontal="center" vertical="center" wrapText="1"/>
    </xf>
    <xf numFmtId="0" fontId="23" fillId="0" borderId="23" xfId="1" applyFont="1" applyBorder="1" applyAlignment="1">
      <alignment horizontal="center" vertical="center" wrapText="1"/>
    </xf>
    <xf numFmtId="3" fontId="23" fillId="0" borderId="23" xfId="1" applyNumberFormat="1" applyFont="1" applyBorder="1" applyAlignment="1">
      <alignment horizontal="right" vertical="center" wrapText="1"/>
    </xf>
    <xf numFmtId="0" fontId="22" fillId="0" borderId="23" xfId="1" applyFont="1" applyBorder="1" applyAlignment="1">
      <alignment vertical="center" wrapText="1"/>
    </xf>
    <xf numFmtId="3" fontId="25" fillId="0" borderId="24" xfId="1" applyNumberFormat="1" applyFont="1" applyBorder="1" applyAlignment="1">
      <alignment horizontal="right" vertical="center" wrapText="1"/>
    </xf>
    <xf numFmtId="10" fontId="22" fillId="0" borderId="23" xfId="1" applyNumberFormat="1" applyFont="1" applyBorder="1" applyAlignment="1">
      <alignment vertical="center" wrapText="1"/>
    </xf>
    <xf numFmtId="10" fontId="2" fillId="0" borderId="20" xfId="1" applyNumberFormat="1" applyFont="1" applyBorder="1" applyAlignment="1">
      <alignment vertical="center" wrapText="1"/>
    </xf>
    <xf numFmtId="10" fontId="2" fillId="0" borderId="24" xfId="1" applyNumberFormat="1" applyFont="1" applyBorder="1" applyAlignment="1">
      <alignment vertical="center" wrapText="1"/>
    </xf>
    <xf numFmtId="0" fontId="22" fillId="0" borderId="0" xfId="1" applyFont="1"/>
    <xf numFmtId="0" fontId="2" fillId="0" borderId="0" xfId="1" applyFont="1"/>
    <xf numFmtId="10" fontId="25" fillId="0" borderId="20" xfId="1" applyNumberFormat="1" applyFont="1" applyBorder="1" applyAlignment="1">
      <alignment horizontal="right" vertical="center" wrapText="1"/>
    </xf>
    <xf numFmtId="0" fontId="27" fillId="0" borderId="0" xfId="3" applyFont="1" applyAlignment="1">
      <alignment horizontal="left"/>
    </xf>
    <xf numFmtId="0" fontId="23" fillId="0" borderId="3" xfId="1" applyFont="1" applyBorder="1" applyAlignment="1">
      <alignment horizontal="center" vertical="center" textRotation="180" wrapText="1"/>
    </xf>
    <xf numFmtId="10" fontId="23" fillId="0" borderId="23" xfId="1" applyNumberFormat="1" applyFont="1" applyBorder="1" applyAlignment="1">
      <alignment horizontal="right" vertical="center" wrapText="1"/>
    </xf>
    <xf numFmtId="0" fontId="2" fillId="0" borderId="1" xfId="1" applyFont="1" applyBorder="1" applyAlignment="1">
      <alignment vertical="center" wrapText="1"/>
    </xf>
    <xf numFmtId="0" fontId="24" fillId="0" borderId="1" xfId="1" applyFont="1" applyBorder="1" applyAlignment="1">
      <alignment vertical="center"/>
    </xf>
    <xf numFmtId="0" fontId="24" fillId="0" borderId="0" xfId="1" applyFont="1" applyBorder="1" applyAlignment="1">
      <alignment vertical="center"/>
    </xf>
    <xf numFmtId="0" fontId="2" fillId="0" borderId="0" xfId="1" applyFont="1" applyBorder="1" applyAlignment="1">
      <alignment vertical="center"/>
    </xf>
    <xf numFmtId="0" fontId="23" fillId="0" borderId="26" xfId="1" applyFont="1" applyBorder="1" applyAlignment="1">
      <alignment horizontal="center" vertical="center" wrapText="1"/>
    </xf>
    <xf numFmtId="0" fontId="23" fillId="0" borderId="26" xfId="1" quotePrefix="1" applyFont="1" applyBorder="1" applyAlignment="1">
      <alignment horizontal="center" vertical="center" wrapText="1"/>
    </xf>
    <xf numFmtId="0" fontId="13" fillId="0" borderId="5" xfId="2" applyFont="1" applyBorder="1" applyAlignment="1">
      <alignment horizontal="center" vertical="center" wrapText="1"/>
    </xf>
    <xf numFmtId="0" fontId="4" fillId="0" borderId="6" xfId="2" applyFont="1" applyBorder="1" applyAlignment="1">
      <alignment horizontal="center" vertical="center" wrapText="1"/>
    </xf>
    <xf numFmtId="0" fontId="9" fillId="0" borderId="7" xfId="2" quotePrefix="1" applyFont="1" applyBorder="1" applyAlignment="1">
      <alignment horizontal="center" vertical="center"/>
    </xf>
    <xf numFmtId="0" fontId="9" fillId="0" borderId="5" xfId="2" quotePrefix="1" applyFont="1" applyBorder="1" applyAlignment="1">
      <alignment horizontal="center" vertical="center"/>
    </xf>
    <xf numFmtId="3" fontId="18" fillId="0" borderId="6" xfId="2" applyNumberFormat="1" applyFont="1" applyBorder="1" applyAlignment="1">
      <alignment vertical="center"/>
    </xf>
    <xf numFmtId="10" fontId="18" fillId="0" borderId="6" xfId="2" applyNumberFormat="1" applyFont="1" applyBorder="1" applyAlignment="1">
      <alignment vertical="center"/>
    </xf>
    <xf numFmtId="3" fontId="18" fillId="0" borderId="6" xfId="2" applyNumberFormat="1" applyFont="1" applyFill="1" applyBorder="1" applyAlignment="1">
      <alignment vertical="center"/>
    </xf>
    <xf numFmtId="3" fontId="32" fillId="0" borderId="20" xfId="0" applyNumberFormat="1" applyFont="1" applyBorder="1" applyAlignment="1">
      <alignment vertical="center"/>
    </xf>
    <xf numFmtId="3" fontId="32" fillId="3" borderId="20" xfId="0" quotePrefix="1" applyNumberFormat="1" applyFont="1" applyFill="1" applyBorder="1" applyAlignment="1">
      <alignment horizontal="right" vertical="center" wrapText="1"/>
    </xf>
    <xf numFmtId="3" fontId="32" fillId="3" borderId="20" xfId="0" quotePrefix="1" applyNumberFormat="1" applyFont="1" applyFill="1" applyBorder="1" applyAlignment="1">
      <alignment vertical="center" wrapText="1"/>
    </xf>
    <xf numFmtId="0" fontId="9" fillId="0" borderId="31" xfId="2" applyFont="1" applyBorder="1" applyAlignment="1">
      <alignment vertical="center" wrapText="1"/>
    </xf>
    <xf numFmtId="0" fontId="9" fillId="0" borderId="31" xfId="2" applyFont="1" applyBorder="1" applyAlignment="1">
      <alignment vertical="center"/>
    </xf>
    <xf numFmtId="3" fontId="9" fillId="0" borderId="31" xfId="2" applyNumberFormat="1" applyFont="1" applyBorder="1" applyAlignment="1">
      <alignment vertical="center"/>
    </xf>
    <xf numFmtId="10" fontId="6" fillId="0" borderId="31" xfId="2" applyNumberFormat="1" applyFont="1" applyBorder="1" applyAlignment="1">
      <alignment vertical="center"/>
    </xf>
    <xf numFmtId="0" fontId="34" fillId="2" borderId="0" xfId="0" applyFont="1" applyFill="1" applyAlignment="1">
      <alignment horizontal="left" vertical="center"/>
    </xf>
    <xf numFmtId="0" fontId="17" fillId="2" borderId="0" xfId="0" applyFont="1" applyFill="1" applyAlignment="1">
      <alignment vertical="center" wrapText="1"/>
    </xf>
    <xf numFmtId="0" fontId="11" fillId="0" borderId="0" xfId="0" applyFont="1" applyAlignment="1">
      <alignment vertical="center"/>
    </xf>
    <xf numFmtId="0" fontId="17" fillId="2" borderId="0" xfId="0" applyFont="1" applyFill="1" applyAlignment="1">
      <alignment vertical="center"/>
    </xf>
    <xf numFmtId="0" fontId="11" fillId="0" borderId="0" xfId="0" applyFont="1" applyAlignment="1">
      <alignment horizontal="center" vertical="center" wrapText="1"/>
    </xf>
    <xf numFmtId="0" fontId="35" fillId="0" borderId="0" xfId="0" applyFont="1" applyAlignment="1">
      <alignment vertical="center"/>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37" fontId="17" fillId="2" borderId="5" xfId="0" applyNumberFormat="1" applyFont="1" applyFill="1" applyBorder="1" applyAlignment="1">
      <alignment horizontal="right" vertical="center" wrapText="1"/>
    </xf>
    <xf numFmtId="10" fontId="17" fillId="2" borderId="5" xfId="0" applyNumberFormat="1" applyFont="1" applyFill="1" applyBorder="1" applyAlignment="1">
      <alignment horizontal="right" vertical="center" wrapText="1"/>
    </xf>
    <xf numFmtId="0" fontId="17" fillId="0" borderId="0" xfId="0" applyFont="1" applyAlignment="1">
      <alignment vertical="center"/>
    </xf>
    <xf numFmtId="0" fontId="17" fillId="2" borderId="6" xfId="0" applyFont="1" applyFill="1" applyBorder="1" applyAlignment="1">
      <alignment horizontal="center" vertical="center" wrapText="1"/>
    </xf>
    <xf numFmtId="0" fontId="17" fillId="2" borderId="6" xfId="0" applyFont="1" applyFill="1" applyBorder="1" applyAlignment="1">
      <alignment horizontal="left" vertical="center" wrapText="1"/>
    </xf>
    <xf numFmtId="37" fontId="17" fillId="2" borderId="6" xfId="0" applyNumberFormat="1" applyFont="1" applyFill="1" applyBorder="1" applyAlignment="1">
      <alignment horizontal="right" vertical="center" wrapText="1"/>
    </xf>
    <xf numFmtId="10" fontId="17" fillId="2" borderId="6" xfId="0" applyNumberFormat="1" applyFont="1" applyFill="1" applyBorder="1" applyAlignment="1">
      <alignment horizontal="right" vertical="center" wrapText="1"/>
    </xf>
    <xf numFmtId="0" fontId="11" fillId="2" borderId="6" xfId="0" applyFont="1" applyFill="1" applyBorder="1" applyAlignment="1">
      <alignment horizontal="center" vertical="center" wrapText="1"/>
    </xf>
    <xf numFmtId="0" fontId="11" fillId="2" borderId="6" xfId="0" applyFont="1" applyFill="1" applyBorder="1" applyAlignment="1">
      <alignment horizontal="left" vertical="center" wrapText="1"/>
    </xf>
    <xf numFmtId="37" fontId="11" fillId="2" borderId="6" xfId="0" applyNumberFormat="1" applyFont="1" applyFill="1" applyBorder="1" applyAlignment="1">
      <alignment horizontal="right" vertical="center" wrapText="1"/>
    </xf>
    <xf numFmtId="10" fontId="11" fillId="2" borderId="6" xfId="0" applyNumberFormat="1" applyFont="1" applyFill="1" applyBorder="1" applyAlignment="1">
      <alignment horizontal="right" vertical="center" wrapText="1"/>
    </xf>
    <xf numFmtId="0" fontId="11" fillId="2" borderId="6" xfId="0" quotePrefix="1" applyFont="1" applyFill="1" applyBorder="1" applyAlignment="1">
      <alignment horizontal="center" vertical="center" wrapText="1"/>
    </xf>
    <xf numFmtId="0" fontId="36" fillId="2" borderId="6" xfId="0" quotePrefix="1" applyFont="1" applyFill="1" applyBorder="1" applyAlignment="1">
      <alignment horizontal="center" vertical="center" wrapText="1"/>
    </xf>
    <xf numFmtId="37" fontId="36" fillId="2" borderId="6" xfId="0" applyNumberFormat="1" applyFont="1" applyFill="1" applyBorder="1" applyAlignment="1">
      <alignment horizontal="right" vertical="center" wrapText="1"/>
    </xf>
    <xf numFmtId="10" fontId="36" fillId="2" borderId="6" xfId="0" applyNumberFormat="1" applyFont="1" applyFill="1" applyBorder="1" applyAlignment="1">
      <alignment horizontal="right" vertical="center" wrapText="1"/>
    </xf>
    <xf numFmtId="0" fontId="36" fillId="0" borderId="0" xfId="0" applyFont="1" applyAlignment="1">
      <alignment vertical="center"/>
    </xf>
    <xf numFmtId="0" fontId="11" fillId="2" borderId="6" xfId="0" quotePrefix="1" applyFont="1" applyFill="1" applyBorder="1" applyAlignment="1">
      <alignment horizontal="left" vertical="center" wrapText="1"/>
    </xf>
    <xf numFmtId="0" fontId="17" fillId="2" borderId="7" xfId="0" applyFont="1" applyFill="1" applyBorder="1" applyAlignment="1">
      <alignment horizontal="center" vertical="center" wrapText="1"/>
    </xf>
    <xf numFmtId="0" fontId="17" fillId="2" borderId="7" xfId="0" applyFont="1" applyFill="1" applyBorder="1" applyAlignment="1">
      <alignment horizontal="left" vertical="center" wrapText="1"/>
    </xf>
    <xf numFmtId="37" fontId="17" fillId="2" borderId="7" xfId="0" applyNumberFormat="1" applyFont="1" applyFill="1" applyBorder="1" applyAlignment="1">
      <alignment horizontal="right" vertical="center" wrapText="1"/>
    </xf>
    <xf numFmtId="10" fontId="17" fillId="2" borderId="7" xfId="0" applyNumberFormat="1" applyFont="1" applyFill="1" applyBorder="1" applyAlignment="1">
      <alignment horizontal="right" vertical="center" wrapText="1"/>
    </xf>
    <xf numFmtId="0" fontId="15" fillId="0" borderId="0" xfId="0" applyFont="1" applyAlignment="1">
      <alignment vertical="center"/>
    </xf>
    <xf numFmtId="0" fontId="4" fillId="0" borderId="0" xfId="2" applyFont="1" applyAlignment="1">
      <alignment vertical="center"/>
    </xf>
    <xf numFmtId="0" fontId="9" fillId="0" borderId="5" xfId="2" applyFont="1" applyBorder="1" applyAlignment="1">
      <alignment vertical="center" wrapText="1"/>
    </xf>
    <xf numFmtId="3" fontId="9" fillId="0" borderId="5" xfId="3" applyNumberFormat="1" applyFont="1" applyBorder="1" applyAlignment="1">
      <alignment horizontal="right" vertical="center"/>
    </xf>
    <xf numFmtId="10" fontId="9" fillId="0" borderId="5" xfId="3" applyNumberFormat="1" applyFont="1" applyBorder="1" applyAlignment="1">
      <alignment horizontal="right" vertical="center"/>
    </xf>
    <xf numFmtId="0" fontId="9" fillId="0" borderId="6" xfId="2" quotePrefix="1" applyFont="1" applyBorder="1" applyAlignment="1">
      <alignment vertical="center" wrapText="1"/>
    </xf>
    <xf numFmtId="0" fontId="4" fillId="0" borderId="6" xfId="2" quotePrefix="1" applyFont="1" applyBorder="1" applyAlignment="1">
      <alignment horizontal="center" vertical="center"/>
    </xf>
    <xf numFmtId="3" fontId="4" fillId="0" borderId="17" xfId="3" applyNumberFormat="1" applyFont="1" applyBorder="1"/>
    <xf numFmtId="3" fontId="4" fillId="0" borderId="18" xfId="3" applyNumberFormat="1" applyFont="1" applyBorder="1"/>
    <xf numFmtId="0" fontId="4" fillId="0" borderId="0" xfId="3" applyFont="1"/>
    <xf numFmtId="3" fontId="9" fillId="0" borderId="6" xfId="1" applyNumberFormat="1" applyFont="1" applyBorder="1" applyAlignment="1">
      <alignment horizontal="right" vertical="center" wrapText="1"/>
    </xf>
    <xf numFmtId="3" fontId="4" fillId="0" borderId="19" xfId="3" applyNumberFormat="1" applyFont="1" applyBorder="1"/>
    <xf numFmtId="10" fontId="4" fillId="0" borderId="5" xfId="3" applyNumberFormat="1" applyFont="1" applyBorder="1" applyAlignment="1">
      <alignment horizontal="right" vertical="center"/>
    </xf>
    <xf numFmtId="3" fontId="9" fillId="0" borderId="5" xfId="1" applyNumberFormat="1" applyFont="1" applyBorder="1" applyAlignment="1">
      <alignment horizontal="right" vertical="center" wrapText="1"/>
    </xf>
    <xf numFmtId="0" fontId="36" fillId="2" borderId="6" xfId="0" applyFont="1" applyFill="1" applyBorder="1" applyAlignment="1">
      <alignment horizontal="center" vertical="center" wrapText="1"/>
    </xf>
    <xf numFmtId="0" fontId="36" fillId="2" borderId="6" xfId="0" applyFont="1" applyFill="1" applyBorder="1" applyAlignment="1">
      <alignment horizontal="left" vertical="center" wrapText="1"/>
    </xf>
    <xf numFmtId="0" fontId="11" fillId="0" borderId="6" xfId="0" applyFont="1" applyBorder="1" applyAlignment="1">
      <alignment horizontal="left" vertical="center" wrapText="1"/>
    </xf>
    <xf numFmtId="0" fontId="11" fillId="0" borderId="6" xfId="0" applyFont="1" applyBorder="1"/>
    <xf numFmtId="0" fontId="37" fillId="2" borderId="6" xfId="0" applyFont="1" applyFill="1" applyBorder="1" applyAlignment="1">
      <alignment horizontal="center" vertical="center" wrapText="1"/>
    </xf>
    <xf numFmtId="0" fontId="37" fillId="2" borderId="6" xfId="0" applyFont="1" applyFill="1" applyBorder="1" applyAlignment="1">
      <alignment horizontal="left" vertical="center" wrapText="1"/>
    </xf>
    <xf numFmtId="37" fontId="37" fillId="2" borderId="6" xfId="0" applyNumberFormat="1" applyFont="1" applyFill="1" applyBorder="1" applyAlignment="1">
      <alignment horizontal="right" vertical="center" wrapText="1"/>
    </xf>
    <xf numFmtId="10" fontId="37" fillId="2" borderId="6" xfId="0" applyNumberFormat="1" applyFont="1" applyFill="1" applyBorder="1" applyAlignment="1">
      <alignment horizontal="right" vertical="center" wrapText="1"/>
    </xf>
    <xf numFmtId="0" fontId="37" fillId="0" borderId="0" xfId="0" applyFont="1" applyAlignment="1">
      <alignment vertical="center"/>
    </xf>
    <xf numFmtId="0" fontId="37" fillId="2" borderId="6" xfId="0" quotePrefix="1" applyFont="1" applyFill="1" applyBorder="1" applyAlignment="1">
      <alignment horizontal="center" vertical="center" wrapText="1"/>
    </xf>
    <xf numFmtId="0" fontId="37" fillId="2" borderId="6" xfId="0" quotePrefix="1" applyFont="1" applyFill="1" applyBorder="1" applyAlignment="1">
      <alignment horizontal="left" vertical="center" wrapText="1"/>
    </xf>
    <xf numFmtId="37" fontId="11" fillId="0" borderId="0" xfId="0" applyNumberFormat="1" applyFont="1" applyAlignment="1">
      <alignment vertical="center"/>
    </xf>
    <xf numFmtId="0" fontId="11" fillId="2" borderId="6" xfId="1" applyFont="1" applyFill="1" applyBorder="1" applyAlignment="1">
      <alignment horizontal="center" vertical="center" wrapText="1"/>
    </xf>
    <xf numFmtId="0" fontId="11" fillId="2" borderId="6" xfId="1" applyFont="1" applyFill="1" applyBorder="1" applyAlignment="1">
      <alignment horizontal="left" vertical="center" wrapText="1"/>
    </xf>
    <xf numFmtId="166" fontId="11" fillId="2" borderId="6" xfId="1" applyNumberFormat="1" applyFont="1" applyFill="1" applyBorder="1" applyAlignment="1">
      <alignment horizontal="right" vertical="center" wrapText="1"/>
    </xf>
    <xf numFmtId="10" fontId="11" fillId="2" borderId="6" xfId="1" applyNumberFormat="1" applyFont="1" applyFill="1" applyBorder="1" applyAlignment="1">
      <alignment horizontal="right" vertical="center" wrapText="1"/>
    </xf>
    <xf numFmtId="0" fontId="11" fillId="0" borderId="0" xfId="1" applyFont="1"/>
    <xf numFmtId="166" fontId="37" fillId="2" borderId="6" xfId="1" applyNumberFormat="1" applyFont="1" applyFill="1" applyBorder="1" applyAlignment="1">
      <alignment horizontal="right" vertical="center" wrapText="1"/>
    </xf>
    <xf numFmtId="10" fontId="37" fillId="2" borderId="6" xfId="1" applyNumberFormat="1" applyFont="1" applyFill="1" applyBorder="1" applyAlignment="1">
      <alignment horizontal="right" vertical="center" wrapText="1"/>
    </xf>
    <xf numFmtId="0" fontId="37" fillId="0" borderId="0" xfId="1" applyFont="1"/>
    <xf numFmtId="0" fontId="37" fillId="0" borderId="6" xfId="2" applyFont="1" applyBorder="1" applyAlignment="1">
      <alignment vertical="center" wrapText="1"/>
    </xf>
    <xf numFmtId="0" fontId="10" fillId="0" borderId="0" xfId="2" applyFont="1" applyAlignment="1">
      <alignment horizontal="left"/>
    </xf>
    <xf numFmtId="0" fontId="4" fillId="0" borderId="4" xfId="3" applyFont="1" applyBorder="1" applyAlignment="1">
      <alignment horizontal="center" vertical="center" wrapText="1"/>
    </xf>
    <xf numFmtId="10" fontId="17" fillId="2" borderId="6" xfId="1" applyNumberFormat="1" applyFont="1" applyFill="1" applyBorder="1" applyAlignment="1">
      <alignment horizontal="right" vertical="center" wrapText="1"/>
    </xf>
    <xf numFmtId="10" fontId="36" fillId="2" borderId="6" xfId="1" applyNumberFormat="1" applyFont="1" applyFill="1" applyBorder="1" applyAlignment="1">
      <alignment horizontal="right" vertical="center" wrapText="1"/>
    </xf>
    <xf numFmtId="0" fontId="39" fillId="0" borderId="0" xfId="1" applyFont="1" applyAlignment="1">
      <alignment vertical="center"/>
    </xf>
    <xf numFmtId="0" fontId="40" fillId="0" borderId="0" xfId="1" applyFont="1" applyAlignment="1">
      <alignment vertical="center"/>
    </xf>
    <xf numFmtId="0" fontId="41" fillId="0" borderId="0" xfId="1" applyFont="1" applyAlignment="1">
      <alignment vertical="center"/>
    </xf>
    <xf numFmtId="0" fontId="42" fillId="0" borderId="0" xfId="1" applyFont="1" applyAlignment="1">
      <alignment vertical="center" wrapText="1"/>
    </xf>
    <xf numFmtId="0" fontId="43" fillId="0" borderId="0" xfId="1" applyFont="1" applyAlignment="1">
      <alignment vertical="center" wrapText="1"/>
    </xf>
    <xf numFmtId="0" fontId="40" fillId="0" borderId="0" xfId="1" applyFont="1" applyAlignment="1">
      <alignment vertical="center" wrapText="1"/>
    </xf>
    <xf numFmtId="0" fontId="44" fillId="0" borderId="2" xfId="1" applyFont="1" applyBorder="1" applyAlignment="1">
      <alignment vertical="center" wrapText="1"/>
    </xf>
    <xf numFmtId="0" fontId="41" fillId="0" borderId="0" xfId="1" applyFont="1" applyAlignment="1"/>
    <xf numFmtId="0" fontId="41" fillId="0" borderId="0" xfId="1" applyFont="1"/>
    <xf numFmtId="0" fontId="40" fillId="0" borderId="0" xfId="1" applyFont="1" applyAlignment="1">
      <alignment vertical="top" wrapText="1"/>
    </xf>
    <xf numFmtId="0" fontId="40" fillId="0" borderId="0" xfId="1" applyFont="1" applyAlignment="1">
      <alignment vertical="top"/>
    </xf>
    <xf numFmtId="0" fontId="47" fillId="0" borderId="0" xfId="3" applyFont="1" applyAlignment="1">
      <alignment horizontal="left"/>
    </xf>
    <xf numFmtId="0" fontId="9" fillId="0" borderId="6" xfId="3" applyFont="1" applyBorder="1" applyAlignment="1">
      <alignment vertical="center" wrapText="1"/>
    </xf>
    <xf numFmtId="0" fontId="10" fillId="0" borderId="6" xfId="3" quotePrefix="1" applyFont="1" applyBorder="1" applyAlignment="1">
      <alignment vertical="center" wrapText="1"/>
    </xf>
    <xf numFmtId="3" fontId="9" fillId="0" borderId="5" xfId="4" applyNumberFormat="1" applyFont="1" applyBorder="1" applyAlignment="1"/>
    <xf numFmtId="37" fontId="9" fillId="2" borderId="6" xfId="0" applyNumberFormat="1" applyFont="1" applyFill="1" applyBorder="1" applyAlignment="1">
      <alignment horizontal="right" vertical="center" wrapText="1"/>
    </xf>
    <xf numFmtId="0" fontId="4" fillId="3" borderId="6" xfId="2" applyFont="1" applyFill="1" applyBorder="1" applyAlignment="1">
      <alignment horizontal="center" vertical="center"/>
    </xf>
    <xf numFmtId="0" fontId="4" fillId="3" borderId="6" xfId="2" applyNumberFormat="1" applyFont="1" applyFill="1" applyBorder="1" applyAlignment="1">
      <alignment horizontal="left" vertical="center" wrapText="1"/>
    </xf>
    <xf numFmtId="3" fontId="9" fillId="0" borderId="12" xfId="3" applyNumberFormat="1" applyFont="1" applyBorder="1"/>
    <xf numFmtId="3" fontId="9" fillId="0" borderId="13" xfId="3" applyNumberFormat="1" applyFont="1" applyBorder="1"/>
    <xf numFmtId="0" fontId="4" fillId="3" borderId="7" xfId="2" applyFont="1" applyFill="1" applyBorder="1" applyAlignment="1">
      <alignment horizontal="center" vertical="center"/>
    </xf>
    <xf numFmtId="0" fontId="4" fillId="3" borderId="7" xfId="2" applyNumberFormat="1" applyFont="1" applyFill="1" applyBorder="1" applyAlignment="1">
      <alignment horizontal="left" vertical="center" wrapText="1"/>
    </xf>
    <xf numFmtId="3" fontId="4" fillId="0" borderId="7" xfId="3" applyNumberFormat="1" applyFont="1" applyBorder="1" applyAlignment="1">
      <alignment horizontal="right" vertical="center"/>
    </xf>
    <xf numFmtId="0" fontId="15" fillId="0" borderId="0" xfId="3" quotePrefix="1" applyFont="1" applyBorder="1" applyAlignment="1">
      <alignment vertical="center"/>
    </xf>
    <xf numFmtId="0" fontId="15" fillId="0" borderId="0" xfId="3" applyFont="1" applyBorder="1" applyAlignment="1">
      <alignment vertical="center" wrapText="1"/>
    </xf>
    <xf numFmtId="3" fontId="15" fillId="0" borderId="0" xfId="3" applyNumberFormat="1" applyFont="1" applyBorder="1" applyAlignment="1">
      <alignment horizontal="right" vertical="center"/>
    </xf>
    <xf numFmtId="4" fontId="15" fillId="0" borderId="0" xfId="3" applyNumberFormat="1" applyFont="1" applyBorder="1" applyAlignment="1">
      <alignment horizontal="right" vertical="center"/>
    </xf>
    <xf numFmtId="0" fontId="15" fillId="0" borderId="0" xfId="3" applyFont="1" applyBorder="1"/>
    <xf numFmtId="0" fontId="15" fillId="0" borderId="0" xfId="3" applyFont="1"/>
    <xf numFmtId="0" fontId="34" fillId="0" borderId="0" xfId="1" applyFont="1" applyAlignment="1">
      <alignment vertical="top"/>
    </xf>
    <xf numFmtId="0" fontId="11" fillId="0" borderId="0" xfId="1" applyFont="1" applyAlignment="1"/>
    <xf numFmtId="0" fontId="11" fillId="0" borderId="0" xfId="1" applyFont="1" applyAlignment="1">
      <alignment vertical="top"/>
    </xf>
    <xf numFmtId="3" fontId="11" fillId="0" borderId="0" xfId="1" applyNumberFormat="1" applyFont="1" applyBorder="1" applyAlignment="1">
      <alignment vertical="center"/>
    </xf>
    <xf numFmtId="0" fontId="11" fillId="0" borderId="0" xfId="1" applyFont="1" applyBorder="1" applyAlignment="1">
      <alignment vertical="center"/>
    </xf>
    <xf numFmtId="3" fontId="11" fillId="0" borderId="0" xfId="1" applyNumberFormat="1" applyFont="1" applyAlignment="1">
      <alignment vertical="center"/>
    </xf>
    <xf numFmtId="3" fontId="11" fillId="0" borderId="0" xfId="1" applyNumberFormat="1" applyFont="1" applyAlignment="1"/>
    <xf numFmtId="0" fontId="11" fillId="0" borderId="0" xfId="1" applyFont="1" applyAlignment="1">
      <alignment horizontal="center" vertical="top"/>
    </xf>
    <xf numFmtId="0" fontId="11" fillId="0" borderId="0" xfId="1" applyFont="1" applyAlignment="1">
      <alignment horizontal="center" vertical="top" wrapText="1"/>
    </xf>
    <xf numFmtId="0" fontId="36" fillId="0" borderId="0" xfId="1" applyFont="1" applyAlignment="1">
      <alignment horizontal="right" vertical="top"/>
    </xf>
    <xf numFmtId="3" fontId="11" fillId="0" borderId="0" xfId="1" applyNumberFormat="1" applyFont="1"/>
    <xf numFmtId="0" fontId="17"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7" fillId="2" borderId="5" xfId="1" applyFont="1" applyFill="1" applyBorder="1" applyAlignment="1">
      <alignment horizontal="center" vertical="center" wrapText="1"/>
    </xf>
    <xf numFmtId="3" fontId="17" fillId="2" borderId="5" xfId="1" applyNumberFormat="1" applyFont="1" applyFill="1" applyBorder="1" applyAlignment="1">
      <alignment horizontal="right" vertical="center" wrapText="1"/>
    </xf>
    <xf numFmtId="164" fontId="17" fillId="2" borderId="8" xfId="1" applyNumberFormat="1" applyFont="1" applyFill="1" applyBorder="1" applyAlignment="1">
      <alignment horizontal="right" vertical="center" wrapText="1"/>
    </xf>
    <xf numFmtId="0" fontId="17" fillId="2" borderId="6" xfId="1" applyFont="1" applyFill="1" applyBorder="1" applyAlignment="1">
      <alignment horizontal="center" vertical="center" wrapText="1"/>
    </xf>
    <xf numFmtId="0" fontId="17" fillId="2" borderId="6" xfId="1" applyFont="1" applyFill="1" applyBorder="1" applyAlignment="1">
      <alignment horizontal="left" vertical="center" wrapText="1"/>
    </xf>
    <xf numFmtId="3" fontId="17" fillId="2" borderId="6" xfId="1" applyNumberFormat="1" applyFont="1" applyFill="1" applyBorder="1" applyAlignment="1">
      <alignment horizontal="right" vertical="center" wrapText="1"/>
    </xf>
    <xf numFmtId="164" fontId="17" fillId="2" borderId="6" xfId="1" applyNumberFormat="1" applyFont="1" applyFill="1" applyBorder="1" applyAlignment="1">
      <alignment horizontal="right" vertical="center" wrapText="1"/>
    </xf>
    <xf numFmtId="3" fontId="17" fillId="0" borderId="0" xfId="1" applyNumberFormat="1" applyFont="1" applyBorder="1" applyAlignment="1">
      <alignment vertical="center"/>
    </xf>
    <xf numFmtId="0" fontId="17" fillId="0" borderId="0" xfId="1" applyFont="1" applyBorder="1" applyAlignment="1">
      <alignment vertical="center"/>
    </xf>
    <xf numFmtId="3" fontId="17" fillId="0" borderId="0" xfId="1" applyNumberFormat="1" applyFont="1" applyAlignment="1">
      <alignment vertical="center"/>
    </xf>
    <xf numFmtId="3" fontId="17" fillId="0" borderId="0" xfId="1" applyNumberFormat="1" applyFont="1"/>
    <xf numFmtId="0" fontId="17" fillId="0" borderId="0" xfId="1" applyFont="1"/>
    <xf numFmtId="3" fontId="17" fillId="0" borderId="0" xfId="1" applyNumberFormat="1" applyFont="1" applyBorder="1" applyAlignment="1">
      <alignment horizontal="center" vertical="center"/>
    </xf>
    <xf numFmtId="3" fontId="17" fillId="0" borderId="0" xfId="1" applyNumberFormat="1" applyFont="1" applyBorder="1" applyAlignment="1">
      <alignment horizontal="center" vertical="center" wrapText="1"/>
    </xf>
    <xf numFmtId="3" fontId="11" fillId="2" borderId="6" xfId="1" applyNumberFormat="1" applyFont="1" applyFill="1" applyBorder="1" applyAlignment="1">
      <alignment horizontal="right" vertical="center" wrapText="1"/>
    </xf>
    <xf numFmtId="164" fontId="11" fillId="2" borderId="6" xfId="1" applyNumberFormat="1" applyFont="1" applyFill="1" applyBorder="1" applyAlignment="1">
      <alignment horizontal="right" vertical="center" wrapText="1"/>
    </xf>
    <xf numFmtId="3" fontId="17" fillId="0" borderId="0" xfId="1" applyNumberFormat="1" applyFont="1" applyAlignment="1">
      <alignment horizontal="center" vertical="center"/>
    </xf>
    <xf numFmtId="0" fontId="11" fillId="2" borderId="6" xfId="1" quotePrefix="1" applyFont="1" applyFill="1" applyBorder="1" applyAlignment="1">
      <alignment horizontal="center" vertical="center" wrapText="1"/>
    </xf>
    <xf numFmtId="3" fontId="11" fillId="2" borderId="15" xfId="1" applyNumberFormat="1" applyFont="1" applyFill="1" applyBorder="1" applyAlignment="1">
      <alignment horizontal="right" vertical="center" wrapText="1"/>
    </xf>
    <xf numFmtId="0" fontId="17" fillId="2" borderId="6" xfId="1" applyFont="1" applyFill="1" applyBorder="1" applyAlignment="1">
      <alignment horizontal="right" vertical="center" wrapText="1"/>
    </xf>
    <xf numFmtId="0" fontId="17" fillId="2" borderId="7" xfId="1" applyFont="1" applyFill="1" applyBorder="1" applyAlignment="1">
      <alignment horizontal="center" vertical="center" wrapText="1"/>
    </xf>
    <xf numFmtId="0" fontId="17" fillId="2" borderId="7" xfId="1" applyFont="1" applyFill="1" applyBorder="1" applyAlignment="1">
      <alignment horizontal="left" vertical="center" wrapText="1"/>
    </xf>
    <xf numFmtId="3" fontId="17" fillId="2" borderId="7" xfId="1" applyNumberFormat="1" applyFont="1" applyFill="1" applyBorder="1" applyAlignment="1">
      <alignment horizontal="right" vertical="center" wrapText="1"/>
    </xf>
    <xf numFmtId="164" fontId="17" fillId="2" borderId="7" xfId="1" applyNumberFormat="1" applyFont="1" applyFill="1" applyBorder="1" applyAlignment="1">
      <alignment horizontal="right" vertical="center" wrapText="1"/>
    </xf>
    <xf numFmtId="3" fontId="11" fillId="0" borderId="0" xfId="1" applyNumberFormat="1" applyFont="1" applyBorder="1" applyAlignment="1">
      <alignment horizontal="center" vertical="center"/>
    </xf>
    <xf numFmtId="3" fontId="11" fillId="0" borderId="0" xfId="1" applyNumberFormat="1" applyFont="1" applyAlignment="1">
      <alignment horizontal="center" vertical="center"/>
    </xf>
    <xf numFmtId="3" fontId="11" fillId="0" borderId="0" xfId="1" quotePrefix="1" applyNumberFormat="1" applyFont="1" applyBorder="1" applyAlignment="1">
      <alignment horizontal="center" vertical="center"/>
    </xf>
    <xf numFmtId="0" fontId="34" fillId="0" borderId="0" xfId="1" applyFont="1" applyAlignment="1">
      <alignment vertical="center"/>
    </xf>
    <xf numFmtId="0" fontId="11" fillId="0" borderId="0" xfId="1" applyFont="1" applyAlignment="1">
      <alignment vertical="center"/>
    </xf>
    <xf numFmtId="0" fontId="17" fillId="0" borderId="0" xfId="1" applyFont="1" applyAlignment="1">
      <alignment vertical="center" wrapText="1"/>
    </xf>
    <xf numFmtId="166" fontId="17" fillId="2" borderId="5" xfId="1" applyNumberFormat="1" applyFont="1" applyFill="1" applyBorder="1" applyAlignment="1">
      <alignment horizontal="right" vertical="center" wrapText="1"/>
    </xf>
    <xf numFmtId="10" fontId="17" fillId="2" borderId="5" xfId="1" applyNumberFormat="1" applyFont="1" applyFill="1" applyBorder="1" applyAlignment="1">
      <alignment horizontal="right" vertical="center" wrapText="1"/>
    </xf>
    <xf numFmtId="166" fontId="17" fillId="2" borderId="6" xfId="1" applyNumberFormat="1" applyFont="1" applyFill="1" applyBorder="1" applyAlignment="1">
      <alignment horizontal="right" vertical="center" wrapText="1"/>
    </xf>
    <xf numFmtId="0" fontId="36" fillId="2" borderId="6" xfId="1" applyFont="1" applyFill="1" applyBorder="1" applyAlignment="1">
      <alignment horizontal="center" vertical="center" wrapText="1"/>
    </xf>
    <xf numFmtId="0" fontId="36" fillId="2" borderId="6" xfId="1" applyFont="1" applyFill="1" applyBorder="1" applyAlignment="1">
      <alignment horizontal="left" vertical="center" wrapText="1"/>
    </xf>
    <xf numFmtId="166" fontId="36" fillId="2" borderId="6" xfId="1" applyNumberFormat="1" applyFont="1" applyFill="1" applyBorder="1" applyAlignment="1">
      <alignment horizontal="right" vertical="center" wrapText="1"/>
    </xf>
    <xf numFmtId="0" fontId="36" fillId="0" borderId="0" xfId="1" applyFont="1"/>
    <xf numFmtId="0" fontId="11" fillId="0" borderId="6" xfId="2" applyFont="1" applyBorder="1" applyAlignment="1">
      <alignment vertical="center" wrapText="1"/>
    </xf>
    <xf numFmtId="3" fontId="11" fillId="0" borderId="6" xfId="6" applyNumberFormat="1" applyFont="1" applyBorder="1" applyAlignment="1">
      <alignment horizontal="right" vertical="center" wrapText="1"/>
    </xf>
    <xf numFmtId="37" fontId="11" fillId="0" borderId="0" xfId="1" applyNumberFormat="1" applyFont="1"/>
    <xf numFmtId="166" fontId="11" fillId="0" borderId="0" xfId="1" applyNumberFormat="1" applyFont="1"/>
    <xf numFmtId="166" fontId="17" fillId="2" borderId="7" xfId="1" applyNumberFormat="1" applyFont="1" applyFill="1" applyBorder="1" applyAlignment="1">
      <alignment horizontal="right" vertical="center" wrapText="1"/>
    </xf>
    <xf numFmtId="10" fontId="11" fillId="2" borderId="7" xfId="1" applyNumberFormat="1" applyFont="1" applyFill="1" applyBorder="1" applyAlignment="1">
      <alignment horizontal="right" vertical="center" wrapText="1"/>
    </xf>
    <xf numFmtId="0" fontId="53" fillId="0" borderId="0" xfId="1" applyFont="1" applyAlignment="1">
      <alignment vertical="center"/>
    </xf>
    <xf numFmtId="0" fontId="54" fillId="0" borderId="0" xfId="1" applyFont="1" applyAlignment="1">
      <alignment vertical="center"/>
    </xf>
    <xf numFmtId="0" fontId="12" fillId="0" borderId="0" xfId="1" applyFont="1" applyAlignment="1">
      <alignment vertical="center"/>
    </xf>
    <xf numFmtId="0" fontId="4" fillId="0" borderId="0" xfId="1" applyFont="1" applyAlignment="1">
      <alignment vertical="center"/>
    </xf>
    <xf numFmtId="0" fontId="9" fillId="0" borderId="0" xfId="1" applyFont="1" applyAlignment="1">
      <alignment vertical="center"/>
    </xf>
    <xf numFmtId="0" fontId="55" fillId="0" borderId="0" xfId="1" applyFont="1" applyAlignment="1">
      <alignment vertical="center"/>
    </xf>
    <xf numFmtId="0" fontId="54" fillId="0" borderId="2" xfId="1" applyFont="1" applyBorder="1" applyAlignment="1">
      <alignment vertical="center"/>
    </xf>
    <xf numFmtId="0" fontId="55" fillId="0" borderId="2" xfId="1" applyFont="1" applyBorder="1" applyAlignment="1">
      <alignment vertical="center"/>
    </xf>
    <xf numFmtId="0" fontId="57" fillId="0" borderId="0" xfId="1" applyFont="1" applyAlignment="1">
      <alignment vertical="center"/>
    </xf>
    <xf numFmtId="0" fontId="56" fillId="0" borderId="3" xfId="1" applyFont="1" applyBorder="1" applyAlignment="1">
      <alignment horizontal="center" vertical="center" wrapText="1"/>
    </xf>
    <xf numFmtId="0" fontId="58" fillId="0" borderId="3" xfId="1" applyFont="1" applyBorder="1" applyAlignment="1">
      <alignment horizontal="center" vertical="center" wrapText="1"/>
    </xf>
    <xf numFmtId="0" fontId="59" fillId="0" borderId="3" xfId="1" applyFont="1" applyBorder="1" applyAlignment="1">
      <alignment horizontal="center" vertical="center" wrapText="1"/>
    </xf>
    <xf numFmtId="0" fontId="59" fillId="0" borderId="0" xfId="1" applyFont="1" applyAlignment="1">
      <alignment vertical="center"/>
    </xf>
    <xf numFmtId="0" fontId="60" fillId="0" borderId="0" xfId="1" applyFont="1" applyAlignment="1">
      <alignment vertical="center"/>
    </xf>
    <xf numFmtId="0" fontId="56" fillId="0" borderId="20" xfId="1" applyFont="1" applyBorder="1" applyAlignment="1">
      <alignment horizontal="center" vertical="center" wrapText="1"/>
    </xf>
    <xf numFmtId="0" fontId="56" fillId="0" borderId="20" xfId="1" applyFont="1" applyBorder="1" applyAlignment="1">
      <alignment horizontal="left" vertical="center" wrapText="1"/>
    </xf>
    <xf numFmtId="3" fontId="56" fillId="0" borderId="20" xfId="1" applyNumberFormat="1" applyFont="1" applyBorder="1" applyAlignment="1">
      <alignment horizontal="right" vertical="center" wrapText="1"/>
    </xf>
    <xf numFmtId="0" fontId="31" fillId="0" borderId="20" xfId="1" quotePrefix="1" applyFont="1" applyBorder="1" applyAlignment="1">
      <alignment horizontal="center" vertical="center" wrapText="1"/>
    </xf>
    <xf numFmtId="0" fontId="31" fillId="0" borderId="20" xfId="1" applyFont="1" applyBorder="1" applyAlignment="1">
      <alignment horizontal="left" vertical="center" wrapText="1"/>
    </xf>
    <xf numFmtId="3" fontId="31" fillId="0" borderId="20" xfId="1" applyNumberFormat="1" applyFont="1" applyBorder="1" applyAlignment="1">
      <alignment horizontal="right" vertical="center" wrapText="1"/>
    </xf>
    <xf numFmtId="0" fontId="31" fillId="0" borderId="21" xfId="1" applyFont="1" applyBorder="1" applyAlignment="1">
      <alignment horizontal="center" vertical="center" wrapText="1"/>
    </xf>
    <xf numFmtId="0" fontId="31" fillId="0" borderId="21" xfId="1" applyFont="1" applyBorder="1" applyAlignment="1">
      <alignment horizontal="left" vertical="center" wrapText="1"/>
    </xf>
    <xf numFmtId="3" fontId="31" fillId="0" borderId="21" xfId="1" applyNumberFormat="1" applyFont="1" applyBorder="1" applyAlignment="1">
      <alignment horizontal="right" vertical="center" wrapText="1"/>
    </xf>
    <xf numFmtId="10" fontId="31" fillId="0" borderId="21" xfId="1" applyNumberFormat="1" applyFont="1" applyBorder="1" applyAlignment="1">
      <alignment horizontal="right" vertical="center" wrapText="1"/>
    </xf>
    <xf numFmtId="0" fontId="62" fillId="0" borderId="0" xfId="1" applyFont="1" applyAlignment="1">
      <alignment vertical="center"/>
    </xf>
    <xf numFmtId="0" fontId="63" fillId="0" borderId="0" xfId="1" applyFont="1" applyAlignment="1">
      <alignment vertical="center"/>
    </xf>
    <xf numFmtId="0" fontId="4" fillId="0" borderId="0" xfId="1" applyFont="1" applyAlignment="1">
      <alignment horizontal="center" vertical="center"/>
    </xf>
    <xf numFmtId="0" fontId="64" fillId="0" borderId="0" xfId="1" applyFont="1" applyAlignment="1">
      <alignment vertical="center"/>
    </xf>
    <xf numFmtId="0" fontId="65" fillId="0" borderId="0" xfId="1" applyFont="1" applyAlignment="1">
      <alignment horizontal="center" vertical="center"/>
    </xf>
    <xf numFmtId="0" fontId="65" fillId="0" borderId="0" xfId="1" applyFont="1" applyAlignment="1">
      <alignment vertical="center"/>
    </xf>
    <xf numFmtId="0" fontId="58" fillId="2" borderId="22" xfId="1" applyFont="1" applyFill="1" applyBorder="1" applyAlignment="1">
      <alignment horizontal="center" vertical="center" wrapText="1"/>
    </xf>
    <xf numFmtId="0" fontId="60" fillId="2" borderId="30" xfId="1" applyFont="1" applyFill="1" applyBorder="1" applyAlignment="1">
      <alignment horizontal="center" vertical="center" wrapText="1"/>
    </xf>
    <xf numFmtId="0" fontId="58" fillId="2" borderId="30" xfId="1" applyFont="1" applyFill="1" applyBorder="1" applyAlignment="1">
      <alignment horizontal="center" vertical="center" wrapText="1"/>
    </xf>
    <xf numFmtId="3" fontId="58" fillId="2" borderId="30" xfId="1" applyNumberFormat="1" applyFont="1" applyFill="1" applyBorder="1" applyAlignment="1">
      <alignment horizontal="right" vertical="center" wrapText="1"/>
    </xf>
    <xf numFmtId="10" fontId="58" fillId="2" borderId="30" xfId="1" applyNumberFormat="1" applyFont="1" applyFill="1" applyBorder="1" applyAlignment="1">
      <alignment horizontal="right" vertical="center" wrapText="1"/>
    </xf>
    <xf numFmtId="0" fontId="58" fillId="2" borderId="20" xfId="1" applyFont="1" applyFill="1" applyBorder="1" applyAlignment="1">
      <alignment horizontal="center" vertical="center" wrapText="1"/>
    </xf>
    <xf numFmtId="0" fontId="58" fillId="2" borderId="20" xfId="1" applyFont="1" applyFill="1" applyBorder="1" applyAlignment="1">
      <alignment horizontal="left" vertical="center" wrapText="1"/>
    </xf>
    <xf numFmtId="3" fontId="58" fillId="2" borderId="20" xfId="1" applyNumberFormat="1" applyFont="1" applyFill="1" applyBorder="1" applyAlignment="1">
      <alignment horizontal="right" vertical="center" wrapText="1"/>
    </xf>
    <xf numFmtId="10" fontId="58" fillId="2" borderId="20" xfId="1" applyNumberFormat="1" applyFont="1" applyFill="1" applyBorder="1" applyAlignment="1">
      <alignment horizontal="right" vertical="center" wrapText="1"/>
    </xf>
    <xf numFmtId="0" fontId="32" fillId="2" borderId="20" xfId="1" applyFont="1" applyFill="1" applyBorder="1" applyAlignment="1">
      <alignment horizontal="center" vertical="center" wrapText="1"/>
    </xf>
    <xf numFmtId="0" fontId="32" fillId="2" borderId="20" xfId="1" applyFont="1" applyFill="1" applyBorder="1" applyAlignment="1">
      <alignment horizontal="left" vertical="center" wrapText="1"/>
    </xf>
    <xf numFmtId="3" fontId="32" fillId="2" borderId="20" xfId="1" applyNumberFormat="1" applyFont="1" applyFill="1" applyBorder="1" applyAlignment="1">
      <alignment horizontal="right" vertical="center" wrapText="1"/>
    </xf>
    <xf numFmtId="10" fontId="32" fillId="2" borderId="20" xfId="1" applyNumberFormat="1" applyFont="1" applyFill="1" applyBorder="1" applyAlignment="1">
      <alignment horizontal="right" vertical="center" wrapText="1"/>
    </xf>
    <xf numFmtId="3" fontId="19" fillId="2" borderId="20" xfId="1" applyNumberFormat="1" applyFont="1" applyFill="1" applyBorder="1" applyAlignment="1">
      <alignment horizontal="right" vertical="center" wrapText="1"/>
    </xf>
    <xf numFmtId="0" fontId="32" fillId="2" borderId="21" xfId="1" quotePrefix="1" applyFont="1" applyFill="1" applyBorder="1" applyAlignment="1">
      <alignment horizontal="center" vertical="center" wrapText="1"/>
    </xf>
    <xf numFmtId="0" fontId="32" fillId="2" borderId="21" xfId="1" applyFont="1" applyFill="1" applyBorder="1" applyAlignment="1">
      <alignment horizontal="left" vertical="center" wrapText="1"/>
    </xf>
    <xf numFmtId="3" fontId="32" fillId="2" borderId="21" xfId="1" applyNumberFormat="1" applyFont="1" applyFill="1" applyBorder="1" applyAlignment="1">
      <alignment horizontal="right" vertical="center" wrapText="1"/>
    </xf>
    <xf numFmtId="3" fontId="32" fillId="2" borderId="24" xfId="1" applyNumberFormat="1" applyFont="1" applyFill="1" applyBorder="1" applyAlignment="1">
      <alignment horizontal="right" vertical="center" wrapText="1"/>
    </xf>
    <xf numFmtId="0" fontId="32" fillId="2" borderId="0" xfId="1" applyFont="1" applyFill="1" applyBorder="1" applyAlignment="1">
      <alignment horizontal="center" vertical="center"/>
    </xf>
    <xf numFmtId="0" fontId="32" fillId="2" borderId="0" xfId="1" applyFont="1" applyFill="1" applyBorder="1" applyAlignment="1">
      <alignment horizontal="left" vertical="center"/>
    </xf>
    <xf numFmtId="3" fontId="32" fillId="2" borderId="0" xfId="1" applyNumberFormat="1" applyFont="1" applyFill="1" applyBorder="1" applyAlignment="1">
      <alignment horizontal="right" vertical="center"/>
    </xf>
    <xf numFmtId="3" fontId="57" fillId="0" borderId="0" xfId="1" applyNumberFormat="1" applyFont="1" applyAlignment="1">
      <alignment vertical="center"/>
    </xf>
    <xf numFmtId="0" fontId="67" fillId="0" borderId="0" xfId="1" applyFont="1" applyAlignment="1">
      <alignment vertical="center"/>
    </xf>
    <xf numFmtId="0" fontId="32" fillId="2" borderId="0" xfId="1" quotePrefix="1" applyFont="1" applyFill="1" applyBorder="1" applyAlignment="1">
      <alignment horizontal="center" vertical="center" wrapText="1"/>
    </xf>
    <xf numFmtId="0" fontId="32" fillId="2" borderId="0" xfId="1" applyFont="1" applyFill="1" applyBorder="1" applyAlignment="1">
      <alignment horizontal="left" vertical="center" wrapText="1"/>
    </xf>
    <xf numFmtId="3" fontId="32" fillId="2" borderId="0" xfId="1" applyNumberFormat="1" applyFont="1" applyFill="1" applyBorder="1" applyAlignment="1">
      <alignment horizontal="right" vertical="center" wrapText="1"/>
    </xf>
    <xf numFmtId="0" fontId="69" fillId="0" borderId="0" xfId="1" applyFont="1" applyAlignment="1">
      <alignment vertical="top"/>
    </xf>
    <xf numFmtId="0" fontId="60" fillId="0" borderId="23" xfId="1" applyFont="1" applyBorder="1" applyAlignment="1">
      <alignment horizontal="center" vertical="center" wrapText="1"/>
    </xf>
    <xf numFmtId="0" fontId="56" fillId="0" borderId="23" xfId="1" applyFont="1" applyBorder="1" applyAlignment="1">
      <alignment horizontal="center" vertical="center" wrapText="1"/>
    </xf>
    <xf numFmtId="3" fontId="56" fillId="0" borderId="23" xfId="1" applyNumberFormat="1" applyFont="1" applyBorder="1" applyAlignment="1">
      <alignment horizontal="right" vertical="center" wrapText="1"/>
    </xf>
    <xf numFmtId="10" fontId="56" fillId="0" borderId="23" xfId="1" applyNumberFormat="1" applyFont="1" applyBorder="1" applyAlignment="1">
      <alignment horizontal="right" vertical="center" wrapText="1"/>
    </xf>
    <xf numFmtId="10" fontId="56" fillId="0" borderId="20" xfId="1" applyNumberFormat="1" applyFont="1" applyBorder="1" applyAlignment="1">
      <alignment horizontal="right" vertical="center" wrapText="1"/>
    </xf>
    <xf numFmtId="10" fontId="31" fillId="0" borderId="20" xfId="1" applyNumberFormat="1" applyFont="1" applyBorder="1" applyAlignment="1">
      <alignment horizontal="right" vertical="center" wrapText="1"/>
    </xf>
    <xf numFmtId="3" fontId="61" fillId="0" borderId="21" xfId="1" applyNumberFormat="1" applyFont="1" applyBorder="1" applyAlignment="1">
      <alignment horizontal="right" vertical="center" wrapText="1"/>
    </xf>
    <xf numFmtId="0" fontId="15" fillId="0" borderId="0" xfId="2" applyFont="1" applyAlignment="1">
      <alignment horizontal="left"/>
    </xf>
    <xf numFmtId="0" fontId="29" fillId="0" borderId="0" xfId="2" applyFont="1" applyAlignment="1">
      <alignment horizontal="center"/>
    </xf>
    <xf numFmtId="0" fontId="20" fillId="0" borderId="0" xfId="3" applyFont="1" applyAlignment="1">
      <alignment horizontal="center"/>
    </xf>
    <xf numFmtId="0" fontId="10" fillId="0" borderId="0" xfId="2" applyFont="1" applyBorder="1" applyAlignment="1">
      <alignment horizontal="right"/>
    </xf>
    <xf numFmtId="0" fontId="4" fillId="0" borderId="4" xfId="2" applyFont="1" applyBorder="1" applyAlignment="1">
      <alignment horizontal="center" vertical="center" wrapText="1"/>
    </xf>
    <xf numFmtId="0" fontId="4" fillId="0" borderId="4" xfId="2" applyFont="1" applyBorder="1" applyAlignment="1">
      <alignment horizontal="center" vertical="center"/>
    </xf>
    <xf numFmtId="0" fontId="33" fillId="0" borderId="0" xfId="2" applyFont="1" applyBorder="1" applyAlignment="1">
      <alignment vertical="center" wrapText="1"/>
    </xf>
    <xf numFmtId="0" fontId="10" fillId="0" borderId="0" xfId="2" applyFont="1" applyAlignment="1">
      <alignment horizontal="left"/>
    </xf>
    <xf numFmtId="0" fontId="8" fillId="0" borderId="0" xfId="3" applyFont="1" applyAlignment="1">
      <alignment horizontal="center" vertical="center"/>
    </xf>
    <xf numFmtId="0" fontId="10" fillId="0" borderId="0" xfId="3" applyFont="1" applyAlignment="1">
      <alignment horizontal="center"/>
    </xf>
    <xf numFmtId="0" fontId="4" fillId="0" borderId="4" xfId="3" applyFont="1" applyBorder="1" applyAlignment="1">
      <alignment horizontal="center" vertical="center" wrapText="1"/>
    </xf>
    <xf numFmtId="0" fontId="4" fillId="0" borderId="4" xfId="3" quotePrefix="1" applyFont="1" applyBorder="1" applyAlignment="1">
      <alignment horizontal="center" vertical="center"/>
    </xf>
    <xf numFmtId="0" fontId="4" fillId="0" borderId="4" xfId="3" applyFont="1" applyBorder="1" applyAlignment="1">
      <alignment horizontal="center" vertical="center"/>
    </xf>
    <xf numFmtId="0" fontId="10" fillId="0" borderId="0" xfId="3" applyFont="1" applyAlignment="1">
      <alignment horizontal="center" vertical="center"/>
    </xf>
    <xf numFmtId="0" fontId="10" fillId="0" borderId="25" xfId="3" applyFont="1" applyBorder="1" applyAlignment="1">
      <alignment horizontal="center" vertical="center"/>
    </xf>
    <xf numFmtId="0" fontId="11" fillId="0" borderId="0" xfId="0" applyFont="1" applyAlignment="1">
      <alignment horizontal="left" vertical="center" wrapText="1"/>
    </xf>
    <xf numFmtId="0" fontId="8" fillId="2" borderId="0" xfId="0" applyFont="1" applyFill="1" applyAlignment="1">
      <alignment horizontal="center" vertical="center" wrapText="1"/>
    </xf>
    <xf numFmtId="0" fontId="10" fillId="2" borderId="0" xfId="0" applyFont="1" applyFill="1" applyAlignment="1">
      <alignment horizontal="center" vertical="center" wrapText="1"/>
    </xf>
    <xf numFmtId="0" fontId="17" fillId="2" borderId="0" xfId="0" applyFont="1" applyFill="1" applyAlignment="1">
      <alignment horizontal="right" vertical="center" wrapText="1"/>
    </xf>
    <xf numFmtId="0" fontId="15" fillId="0" borderId="0" xfId="0" applyFont="1" applyAlignment="1">
      <alignment horizontal="left" vertical="center" wrapText="1"/>
    </xf>
    <xf numFmtId="3" fontId="17" fillId="0" borderId="0" xfId="1" applyNumberFormat="1" applyFont="1" applyAlignment="1">
      <alignment horizontal="center" wrapText="1"/>
    </xf>
    <xf numFmtId="0" fontId="36" fillId="0" borderId="0" xfId="1" applyFont="1" applyAlignment="1">
      <alignment horizontal="left" vertical="top" wrapText="1"/>
    </xf>
    <xf numFmtId="0" fontId="4" fillId="0" borderId="0" xfId="1" applyFont="1" applyAlignment="1">
      <alignment horizontal="center" vertical="top"/>
    </xf>
    <xf numFmtId="0" fontId="10" fillId="0" borderId="0" xfId="1" applyFont="1" applyAlignment="1">
      <alignment horizontal="center" vertical="center"/>
    </xf>
    <xf numFmtId="0" fontId="17" fillId="2" borderId="4" xfId="1" applyFont="1" applyFill="1" applyBorder="1" applyAlignment="1">
      <alignment horizontal="center" vertical="center" wrapText="1"/>
    </xf>
    <xf numFmtId="0" fontId="36" fillId="2" borderId="0" xfId="1" applyFont="1" applyFill="1" applyAlignment="1">
      <alignment horizontal="left" vertical="top" wrapText="1"/>
    </xf>
    <xf numFmtId="0" fontId="29" fillId="0" borderId="0" xfId="1" applyFont="1" applyAlignment="1">
      <alignment horizontal="center" vertical="top" wrapText="1"/>
    </xf>
    <xf numFmtId="0" fontId="50" fillId="2" borderId="0" xfId="1" applyFont="1" applyFill="1" applyAlignment="1">
      <alignment horizontal="center" vertical="center"/>
    </xf>
    <xf numFmtId="0" fontId="11" fillId="0" borderId="0" xfId="1" applyFont="1" applyAlignment="1">
      <alignment horizontal="center" vertical="center"/>
    </xf>
    <xf numFmtId="0" fontId="65" fillId="0" borderId="2" xfId="1" applyFont="1" applyBorder="1" applyAlignment="1">
      <alignment horizontal="center" vertical="center"/>
    </xf>
    <xf numFmtId="0" fontId="58" fillId="2" borderId="3" xfId="1" applyFont="1" applyFill="1" applyBorder="1" applyAlignment="1">
      <alignment horizontal="center" vertical="center" wrapText="1"/>
    </xf>
    <xf numFmtId="0" fontId="4" fillId="0" borderId="0" xfId="1" applyFont="1" applyAlignment="1">
      <alignment horizontal="center" vertical="center"/>
    </xf>
    <xf numFmtId="0" fontId="58" fillId="2" borderId="27" xfId="1" applyFont="1" applyFill="1" applyBorder="1" applyAlignment="1">
      <alignment horizontal="center" vertical="center" wrapText="1"/>
    </xf>
    <xf numFmtId="0" fontId="58" fillId="2" borderId="28" xfId="1" applyFont="1" applyFill="1" applyBorder="1" applyAlignment="1">
      <alignment horizontal="center" vertical="center" wrapText="1"/>
    </xf>
    <xf numFmtId="0" fontId="58" fillId="2" borderId="29" xfId="1" applyFont="1" applyFill="1" applyBorder="1" applyAlignment="1">
      <alignment horizontal="center" vertical="center" wrapText="1"/>
    </xf>
    <xf numFmtId="0" fontId="67" fillId="0" borderId="0" xfId="1" applyFont="1" applyAlignment="1">
      <alignment horizontal="justify" vertical="center"/>
    </xf>
    <xf numFmtId="0" fontId="58" fillId="2" borderId="26" xfId="1" applyFont="1" applyFill="1" applyBorder="1" applyAlignment="1">
      <alignment horizontal="center" vertical="center" wrapText="1"/>
    </xf>
    <xf numFmtId="0" fontId="58" fillId="2" borderId="32" xfId="1" applyFont="1" applyFill="1" applyBorder="1" applyAlignment="1">
      <alignment horizontal="center" vertical="center" wrapText="1"/>
    </xf>
    <xf numFmtId="0" fontId="58" fillId="2" borderId="33" xfId="1" applyFont="1" applyFill="1" applyBorder="1" applyAlignment="1">
      <alignment horizontal="center" vertical="center" wrapText="1"/>
    </xf>
    <xf numFmtId="0" fontId="42" fillId="0" borderId="0" xfId="1" applyFont="1" applyAlignment="1">
      <alignment horizontal="center" vertical="center"/>
    </xf>
    <xf numFmtId="0" fontId="43" fillId="0" borderId="0" xfId="1" applyFont="1" applyAlignment="1">
      <alignment horizontal="center" vertical="center"/>
    </xf>
    <xf numFmtId="0" fontId="23" fillId="0" borderId="3" xfId="1" applyFont="1" applyBorder="1" applyAlignment="1">
      <alignment horizontal="center" vertical="center" wrapText="1"/>
    </xf>
    <xf numFmtId="0" fontId="44" fillId="0" borderId="0" xfId="1" applyFont="1" applyBorder="1" applyAlignment="1">
      <alignment horizontal="center" vertical="center" wrapText="1"/>
    </xf>
    <xf numFmtId="0" fontId="44" fillId="0" borderId="2" xfId="1" applyFont="1" applyBorder="1" applyAlignment="1">
      <alignment horizontal="center" vertical="center" wrapText="1"/>
    </xf>
    <xf numFmtId="0" fontId="45" fillId="0" borderId="0" xfId="1" applyFont="1" applyAlignment="1">
      <alignment horizontal="center" vertical="center"/>
    </xf>
    <xf numFmtId="0" fontId="23" fillId="0" borderId="28" xfId="1" applyFont="1" applyBorder="1" applyAlignment="1">
      <alignment horizontal="center" vertical="center" wrapText="1"/>
    </xf>
    <xf numFmtId="0" fontId="23" fillId="0" borderId="29" xfId="1" applyFont="1" applyBorder="1" applyAlignment="1">
      <alignment horizontal="center" vertical="center" wrapText="1"/>
    </xf>
    <xf numFmtId="0" fontId="2" fillId="0" borderId="0" xfId="1" applyFont="1" applyBorder="1" applyAlignment="1">
      <alignment horizontal="center" vertical="center"/>
    </xf>
    <xf numFmtId="0" fontId="23" fillId="0" borderId="27" xfId="1" applyFont="1" applyBorder="1" applyAlignment="1">
      <alignment horizontal="center" vertical="center" wrapText="1"/>
    </xf>
    <xf numFmtId="0" fontId="46" fillId="0" borderId="0" xfId="1" applyFont="1" applyAlignment="1">
      <alignment horizontal="center" vertical="top"/>
    </xf>
    <xf numFmtId="0" fontId="45" fillId="0" borderId="0" xfId="1" applyFont="1" applyAlignment="1">
      <alignment horizontal="center" vertical="top"/>
    </xf>
    <xf numFmtId="0" fontId="1" fillId="0" borderId="3" xfId="1" applyFont="1" applyBorder="1" applyAlignment="1">
      <alignment horizontal="center" vertical="center" wrapText="1"/>
    </xf>
    <xf numFmtId="0" fontId="44" fillId="0" borderId="2" xfId="1" applyFont="1" applyBorder="1" applyAlignment="1">
      <alignment horizontal="right" vertical="top" wrapText="1"/>
    </xf>
    <xf numFmtId="0" fontId="23" fillId="0" borderId="27" xfId="1" applyFont="1" applyBorder="1" applyAlignment="1">
      <alignment horizontal="center" vertical="center"/>
    </xf>
    <xf numFmtId="0" fontId="23" fillId="0" borderId="29" xfId="1" applyFont="1" applyBorder="1" applyAlignment="1">
      <alignment horizontal="center" vertical="center"/>
    </xf>
    <xf numFmtId="0" fontId="23" fillId="0" borderId="28" xfId="1" applyFont="1" applyBorder="1" applyAlignment="1">
      <alignment horizontal="center" vertical="center"/>
    </xf>
    <xf numFmtId="0" fontId="2" fillId="0" borderId="0" xfId="1" applyFont="1" applyAlignment="1">
      <alignment horizontal="left" indent="1"/>
    </xf>
    <xf numFmtId="0" fontId="56" fillId="0" borderId="3" xfId="1" applyFont="1" applyBorder="1" applyAlignment="1">
      <alignment horizontal="center" vertical="center" wrapText="1"/>
    </xf>
    <xf numFmtId="0" fontId="56" fillId="0" borderId="28" xfId="1" applyFont="1" applyBorder="1" applyAlignment="1">
      <alignment horizontal="center" vertical="center" wrapText="1"/>
    </xf>
    <xf numFmtId="0" fontId="56" fillId="0" borderId="29" xfId="1" applyFont="1" applyBorder="1" applyAlignment="1">
      <alignment horizontal="center" vertical="center" wrapText="1"/>
    </xf>
    <xf numFmtId="0" fontId="56" fillId="0" borderId="27" xfId="1" applyFont="1" applyBorder="1" applyAlignment="1">
      <alignment horizontal="center" vertical="center" wrapText="1"/>
    </xf>
    <xf numFmtId="0" fontId="57" fillId="0" borderId="0" xfId="1" applyFont="1" applyAlignment="1">
      <alignment horizontal="left" vertical="center"/>
    </xf>
    <xf numFmtId="0" fontId="9" fillId="0" borderId="0" xfId="1" applyFont="1" applyAlignment="1">
      <alignment horizontal="center" vertical="center"/>
    </xf>
    <xf numFmtId="0" fontId="4" fillId="0" borderId="0" xfId="1" applyFont="1" applyAlignment="1">
      <alignment vertical="center"/>
    </xf>
    <xf numFmtId="0" fontId="9" fillId="0" borderId="0" xfId="1" applyFont="1" applyAlignment="1">
      <alignment vertical="center"/>
    </xf>
  </cellXfs>
  <cellStyles count="7">
    <cellStyle name="Comma 10 2" xfId="5"/>
    <cellStyle name="Comma 2" xfId="4"/>
    <cellStyle name="Normal" xfId="0" builtinId="0"/>
    <cellStyle name="Normal 2" xfId="1"/>
    <cellStyle name="Normal 2 2" xfId="3"/>
    <cellStyle name="Normal 3" xfId="2"/>
    <cellStyle name="Normal 8"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showZeros="0" view="pageBreakPreview" zoomScaleNormal="100" zoomScaleSheetLayoutView="100" workbookViewId="0">
      <selection activeCell="B8" sqref="B8:B9"/>
    </sheetView>
  </sheetViews>
  <sheetFormatPr defaultRowHeight="15.75"/>
  <cols>
    <col min="1" max="1" width="5.85546875" style="5" customWidth="1"/>
    <col min="2" max="2" width="44.28515625" style="5" customWidth="1"/>
    <col min="3" max="3" width="21.28515625" style="5" customWidth="1"/>
    <col min="4" max="4" width="21.85546875" style="5" customWidth="1"/>
    <col min="5" max="5" width="20.5703125" style="5" customWidth="1"/>
    <col min="6" max="6" width="13.140625" style="5" customWidth="1"/>
    <col min="7" max="256" width="9.140625" style="5"/>
    <col min="257" max="257" width="5.85546875" style="5" customWidth="1"/>
    <col min="258" max="258" width="45" style="5" customWidth="1"/>
    <col min="259" max="259" width="20.7109375" style="5" customWidth="1"/>
    <col min="260" max="260" width="21.85546875" style="5" customWidth="1"/>
    <col min="261" max="261" width="19" style="5" customWidth="1"/>
    <col min="262" max="262" width="13" style="5" customWidth="1"/>
    <col min="263" max="512" width="9.140625" style="5"/>
    <col min="513" max="513" width="5.85546875" style="5" customWidth="1"/>
    <col min="514" max="514" width="45" style="5" customWidth="1"/>
    <col min="515" max="515" width="20.7109375" style="5" customWidth="1"/>
    <col min="516" max="516" width="21.85546875" style="5" customWidth="1"/>
    <col min="517" max="517" width="19" style="5" customWidth="1"/>
    <col min="518" max="518" width="13" style="5" customWidth="1"/>
    <col min="519" max="768" width="9.140625" style="5"/>
    <col min="769" max="769" width="5.85546875" style="5" customWidth="1"/>
    <col min="770" max="770" width="45" style="5" customWidth="1"/>
    <col min="771" max="771" width="20.7109375" style="5" customWidth="1"/>
    <col min="772" max="772" width="21.85546875" style="5" customWidth="1"/>
    <col min="773" max="773" width="19" style="5" customWidth="1"/>
    <col min="774" max="774" width="13" style="5" customWidth="1"/>
    <col min="775" max="1024" width="9.140625" style="5"/>
    <col min="1025" max="1025" width="5.85546875" style="5" customWidth="1"/>
    <col min="1026" max="1026" width="45" style="5" customWidth="1"/>
    <col min="1027" max="1027" width="20.7109375" style="5" customWidth="1"/>
    <col min="1028" max="1028" width="21.85546875" style="5" customWidth="1"/>
    <col min="1029" max="1029" width="19" style="5" customWidth="1"/>
    <col min="1030" max="1030" width="13" style="5" customWidth="1"/>
    <col min="1031" max="1280" width="9.140625" style="5"/>
    <col min="1281" max="1281" width="5.85546875" style="5" customWidth="1"/>
    <col min="1282" max="1282" width="45" style="5" customWidth="1"/>
    <col min="1283" max="1283" width="20.7109375" style="5" customWidth="1"/>
    <col min="1284" max="1284" width="21.85546875" style="5" customWidth="1"/>
    <col min="1285" max="1285" width="19" style="5" customWidth="1"/>
    <col min="1286" max="1286" width="13" style="5" customWidth="1"/>
    <col min="1287" max="1536" width="9.140625" style="5"/>
    <col min="1537" max="1537" width="5.85546875" style="5" customWidth="1"/>
    <col min="1538" max="1538" width="45" style="5" customWidth="1"/>
    <col min="1539" max="1539" width="20.7109375" style="5" customWidth="1"/>
    <col min="1540" max="1540" width="21.85546875" style="5" customWidth="1"/>
    <col min="1541" max="1541" width="19" style="5" customWidth="1"/>
    <col min="1542" max="1542" width="13" style="5" customWidth="1"/>
    <col min="1543" max="1792" width="9.140625" style="5"/>
    <col min="1793" max="1793" width="5.85546875" style="5" customWidth="1"/>
    <col min="1794" max="1794" width="45" style="5" customWidth="1"/>
    <col min="1795" max="1795" width="20.7109375" style="5" customWidth="1"/>
    <col min="1796" max="1796" width="21.85546875" style="5" customWidth="1"/>
    <col min="1797" max="1797" width="19" style="5" customWidth="1"/>
    <col min="1798" max="1798" width="13" style="5" customWidth="1"/>
    <col min="1799" max="2048" width="9.140625" style="5"/>
    <col min="2049" max="2049" width="5.85546875" style="5" customWidth="1"/>
    <col min="2050" max="2050" width="45" style="5" customWidth="1"/>
    <col min="2051" max="2051" width="20.7109375" style="5" customWidth="1"/>
    <col min="2052" max="2052" width="21.85546875" style="5" customWidth="1"/>
    <col min="2053" max="2053" width="19" style="5" customWidth="1"/>
    <col min="2054" max="2054" width="13" style="5" customWidth="1"/>
    <col min="2055" max="2304" width="9.140625" style="5"/>
    <col min="2305" max="2305" width="5.85546875" style="5" customWidth="1"/>
    <col min="2306" max="2306" width="45" style="5" customWidth="1"/>
    <col min="2307" max="2307" width="20.7109375" style="5" customWidth="1"/>
    <col min="2308" max="2308" width="21.85546875" style="5" customWidth="1"/>
    <col min="2309" max="2309" width="19" style="5" customWidth="1"/>
    <col min="2310" max="2310" width="13" style="5" customWidth="1"/>
    <col min="2311" max="2560" width="9.140625" style="5"/>
    <col min="2561" max="2561" width="5.85546875" style="5" customWidth="1"/>
    <col min="2562" max="2562" width="45" style="5" customWidth="1"/>
    <col min="2563" max="2563" width="20.7109375" style="5" customWidth="1"/>
    <col min="2564" max="2564" width="21.85546875" style="5" customWidth="1"/>
    <col min="2565" max="2565" width="19" style="5" customWidth="1"/>
    <col min="2566" max="2566" width="13" style="5" customWidth="1"/>
    <col min="2567" max="2816" width="9.140625" style="5"/>
    <col min="2817" max="2817" width="5.85546875" style="5" customWidth="1"/>
    <col min="2818" max="2818" width="45" style="5" customWidth="1"/>
    <col min="2819" max="2819" width="20.7109375" style="5" customWidth="1"/>
    <col min="2820" max="2820" width="21.85546875" style="5" customWidth="1"/>
    <col min="2821" max="2821" width="19" style="5" customWidth="1"/>
    <col min="2822" max="2822" width="13" style="5" customWidth="1"/>
    <col min="2823" max="3072" width="9.140625" style="5"/>
    <col min="3073" max="3073" width="5.85546875" style="5" customWidth="1"/>
    <col min="3074" max="3074" width="45" style="5" customWidth="1"/>
    <col min="3075" max="3075" width="20.7109375" style="5" customWidth="1"/>
    <col min="3076" max="3076" width="21.85546875" style="5" customWidth="1"/>
    <col min="3077" max="3077" width="19" style="5" customWidth="1"/>
    <col min="3078" max="3078" width="13" style="5" customWidth="1"/>
    <col min="3079" max="3328" width="9.140625" style="5"/>
    <col min="3329" max="3329" width="5.85546875" style="5" customWidth="1"/>
    <col min="3330" max="3330" width="45" style="5" customWidth="1"/>
    <col min="3331" max="3331" width="20.7109375" style="5" customWidth="1"/>
    <col min="3332" max="3332" width="21.85546875" style="5" customWidth="1"/>
    <col min="3333" max="3333" width="19" style="5" customWidth="1"/>
    <col min="3334" max="3334" width="13" style="5" customWidth="1"/>
    <col min="3335" max="3584" width="9.140625" style="5"/>
    <col min="3585" max="3585" width="5.85546875" style="5" customWidth="1"/>
    <col min="3586" max="3586" width="45" style="5" customWidth="1"/>
    <col min="3587" max="3587" width="20.7109375" style="5" customWidth="1"/>
    <col min="3588" max="3588" width="21.85546875" style="5" customWidth="1"/>
    <col min="3589" max="3589" width="19" style="5" customWidth="1"/>
    <col min="3590" max="3590" width="13" style="5" customWidth="1"/>
    <col min="3591" max="3840" width="9.140625" style="5"/>
    <col min="3841" max="3841" width="5.85546875" style="5" customWidth="1"/>
    <col min="3842" max="3842" width="45" style="5" customWidth="1"/>
    <col min="3843" max="3843" width="20.7109375" style="5" customWidth="1"/>
    <col min="3844" max="3844" width="21.85546875" style="5" customWidth="1"/>
    <col min="3845" max="3845" width="19" style="5" customWidth="1"/>
    <col min="3846" max="3846" width="13" style="5" customWidth="1"/>
    <col min="3847" max="4096" width="9.140625" style="5"/>
    <col min="4097" max="4097" width="5.85546875" style="5" customWidth="1"/>
    <col min="4098" max="4098" width="45" style="5" customWidth="1"/>
    <col min="4099" max="4099" width="20.7109375" style="5" customWidth="1"/>
    <col min="4100" max="4100" width="21.85546875" style="5" customWidth="1"/>
    <col min="4101" max="4101" width="19" style="5" customWidth="1"/>
    <col min="4102" max="4102" width="13" style="5" customWidth="1"/>
    <col min="4103" max="4352" width="9.140625" style="5"/>
    <col min="4353" max="4353" width="5.85546875" style="5" customWidth="1"/>
    <col min="4354" max="4354" width="45" style="5" customWidth="1"/>
    <col min="4355" max="4355" width="20.7109375" style="5" customWidth="1"/>
    <col min="4356" max="4356" width="21.85546875" style="5" customWidth="1"/>
    <col min="4357" max="4357" width="19" style="5" customWidth="1"/>
    <col min="4358" max="4358" width="13" style="5" customWidth="1"/>
    <col min="4359" max="4608" width="9.140625" style="5"/>
    <col min="4609" max="4609" width="5.85546875" style="5" customWidth="1"/>
    <col min="4610" max="4610" width="45" style="5" customWidth="1"/>
    <col min="4611" max="4611" width="20.7109375" style="5" customWidth="1"/>
    <col min="4612" max="4612" width="21.85546875" style="5" customWidth="1"/>
    <col min="4613" max="4613" width="19" style="5" customWidth="1"/>
    <col min="4614" max="4614" width="13" style="5" customWidth="1"/>
    <col min="4615" max="4864" width="9.140625" style="5"/>
    <col min="4865" max="4865" width="5.85546875" style="5" customWidth="1"/>
    <col min="4866" max="4866" width="45" style="5" customWidth="1"/>
    <col min="4867" max="4867" width="20.7109375" style="5" customWidth="1"/>
    <col min="4868" max="4868" width="21.85546875" style="5" customWidth="1"/>
    <col min="4869" max="4869" width="19" style="5" customWidth="1"/>
    <col min="4870" max="4870" width="13" style="5" customWidth="1"/>
    <col min="4871" max="5120" width="9.140625" style="5"/>
    <col min="5121" max="5121" width="5.85546875" style="5" customWidth="1"/>
    <col min="5122" max="5122" width="45" style="5" customWidth="1"/>
    <col min="5123" max="5123" width="20.7109375" style="5" customWidth="1"/>
    <col min="5124" max="5124" width="21.85546875" style="5" customWidth="1"/>
    <col min="5125" max="5125" width="19" style="5" customWidth="1"/>
    <col min="5126" max="5126" width="13" style="5" customWidth="1"/>
    <col min="5127" max="5376" width="9.140625" style="5"/>
    <col min="5377" max="5377" width="5.85546875" style="5" customWidth="1"/>
    <col min="5378" max="5378" width="45" style="5" customWidth="1"/>
    <col min="5379" max="5379" width="20.7109375" style="5" customWidth="1"/>
    <col min="5380" max="5380" width="21.85546875" style="5" customWidth="1"/>
    <col min="5381" max="5381" width="19" style="5" customWidth="1"/>
    <col min="5382" max="5382" width="13" style="5" customWidth="1"/>
    <col min="5383" max="5632" width="9.140625" style="5"/>
    <col min="5633" max="5633" width="5.85546875" style="5" customWidth="1"/>
    <col min="5634" max="5634" width="45" style="5" customWidth="1"/>
    <col min="5635" max="5635" width="20.7109375" style="5" customWidth="1"/>
    <col min="5636" max="5636" width="21.85546875" style="5" customWidth="1"/>
    <col min="5637" max="5637" width="19" style="5" customWidth="1"/>
    <col min="5638" max="5638" width="13" style="5" customWidth="1"/>
    <col min="5639" max="5888" width="9.140625" style="5"/>
    <col min="5889" max="5889" width="5.85546875" style="5" customWidth="1"/>
    <col min="5890" max="5890" width="45" style="5" customWidth="1"/>
    <col min="5891" max="5891" width="20.7109375" style="5" customWidth="1"/>
    <col min="5892" max="5892" width="21.85546875" style="5" customWidth="1"/>
    <col min="5893" max="5893" width="19" style="5" customWidth="1"/>
    <col min="5894" max="5894" width="13" style="5" customWidth="1"/>
    <col min="5895" max="6144" width="9.140625" style="5"/>
    <col min="6145" max="6145" width="5.85546875" style="5" customWidth="1"/>
    <col min="6146" max="6146" width="45" style="5" customWidth="1"/>
    <col min="6147" max="6147" width="20.7109375" style="5" customWidth="1"/>
    <col min="6148" max="6148" width="21.85546875" style="5" customWidth="1"/>
    <col min="6149" max="6149" width="19" style="5" customWidth="1"/>
    <col min="6150" max="6150" width="13" style="5" customWidth="1"/>
    <col min="6151" max="6400" width="9.140625" style="5"/>
    <col min="6401" max="6401" width="5.85546875" style="5" customWidth="1"/>
    <col min="6402" max="6402" width="45" style="5" customWidth="1"/>
    <col min="6403" max="6403" width="20.7109375" style="5" customWidth="1"/>
    <col min="6404" max="6404" width="21.85546875" style="5" customWidth="1"/>
    <col min="6405" max="6405" width="19" style="5" customWidth="1"/>
    <col min="6406" max="6406" width="13" style="5" customWidth="1"/>
    <col min="6407" max="6656" width="9.140625" style="5"/>
    <col min="6657" max="6657" width="5.85546875" style="5" customWidth="1"/>
    <col min="6658" max="6658" width="45" style="5" customWidth="1"/>
    <col min="6659" max="6659" width="20.7109375" style="5" customWidth="1"/>
    <col min="6660" max="6660" width="21.85546875" style="5" customWidth="1"/>
    <col min="6661" max="6661" width="19" style="5" customWidth="1"/>
    <col min="6662" max="6662" width="13" style="5" customWidth="1"/>
    <col min="6663" max="6912" width="9.140625" style="5"/>
    <col min="6913" max="6913" width="5.85546875" style="5" customWidth="1"/>
    <col min="6914" max="6914" width="45" style="5" customWidth="1"/>
    <col min="6915" max="6915" width="20.7109375" style="5" customWidth="1"/>
    <col min="6916" max="6916" width="21.85546875" style="5" customWidth="1"/>
    <col min="6917" max="6917" width="19" style="5" customWidth="1"/>
    <col min="6918" max="6918" width="13" style="5" customWidth="1"/>
    <col min="6919" max="7168" width="9.140625" style="5"/>
    <col min="7169" max="7169" width="5.85546875" style="5" customWidth="1"/>
    <col min="7170" max="7170" width="45" style="5" customWidth="1"/>
    <col min="7171" max="7171" width="20.7109375" style="5" customWidth="1"/>
    <col min="7172" max="7172" width="21.85546875" style="5" customWidth="1"/>
    <col min="7173" max="7173" width="19" style="5" customWidth="1"/>
    <col min="7174" max="7174" width="13" style="5" customWidth="1"/>
    <col min="7175" max="7424" width="9.140625" style="5"/>
    <col min="7425" max="7425" width="5.85546875" style="5" customWidth="1"/>
    <col min="7426" max="7426" width="45" style="5" customWidth="1"/>
    <col min="7427" max="7427" width="20.7109375" style="5" customWidth="1"/>
    <col min="7428" max="7428" width="21.85546875" style="5" customWidth="1"/>
    <col min="7429" max="7429" width="19" style="5" customWidth="1"/>
    <col min="7430" max="7430" width="13" style="5" customWidth="1"/>
    <col min="7431" max="7680" width="9.140625" style="5"/>
    <col min="7681" max="7681" width="5.85546875" style="5" customWidth="1"/>
    <col min="7682" max="7682" width="45" style="5" customWidth="1"/>
    <col min="7683" max="7683" width="20.7109375" style="5" customWidth="1"/>
    <col min="7684" max="7684" width="21.85546875" style="5" customWidth="1"/>
    <col min="7685" max="7685" width="19" style="5" customWidth="1"/>
    <col min="7686" max="7686" width="13" style="5" customWidth="1"/>
    <col min="7687" max="7936" width="9.140625" style="5"/>
    <col min="7937" max="7937" width="5.85546875" style="5" customWidth="1"/>
    <col min="7938" max="7938" width="45" style="5" customWidth="1"/>
    <col min="7939" max="7939" width="20.7109375" style="5" customWidth="1"/>
    <col min="7940" max="7940" width="21.85546875" style="5" customWidth="1"/>
    <col min="7941" max="7941" width="19" style="5" customWidth="1"/>
    <col min="7942" max="7942" width="13" style="5" customWidth="1"/>
    <col min="7943" max="8192" width="9.140625" style="5"/>
    <col min="8193" max="8193" width="5.85546875" style="5" customWidth="1"/>
    <col min="8194" max="8194" width="45" style="5" customWidth="1"/>
    <col min="8195" max="8195" width="20.7109375" style="5" customWidth="1"/>
    <col min="8196" max="8196" width="21.85546875" style="5" customWidth="1"/>
    <col min="8197" max="8197" width="19" style="5" customWidth="1"/>
    <col min="8198" max="8198" width="13" style="5" customWidth="1"/>
    <col min="8199" max="8448" width="9.140625" style="5"/>
    <col min="8449" max="8449" width="5.85546875" style="5" customWidth="1"/>
    <col min="8450" max="8450" width="45" style="5" customWidth="1"/>
    <col min="8451" max="8451" width="20.7109375" style="5" customWidth="1"/>
    <col min="8452" max="8452" width="21.85546875" style="5" customWidth="1"/>
    <col min="8453" max="8453" width="19" style="5" customWidth="1"/>
    <col min="8454" max="8454" width="13" style="5" customWidth="1"/>
    <col min="8455" max="8704" width="9.140625" style="5"/>
    <col min="8705" max="8705" width="5.85546875" style="5" customWidth="1"/>
    <col min="8706" max="8706" width="45" style="5" customWidth="1"/>
    <col min="8707" max="8707" width="20.7109375" style="5" customWidth="1"/>
    <col min="8708" max="8708" width="21.85546875" style="5" customWidth="1"/>
    <col min="8709" max="8709" width="19" style="5" customWidth="1"/>
    <col min="8710" max="8710" width="13" style="5" customWidth="1"/>
    <col min="8711" max="8960" width="9.140625" style="5"/>
    <col min="8961" max="8961" width="5.85546875" style="5" customWidth="1"/>
    <col min="8962" max="8962" width="45" style="5" customWidth="1"/>
    <col min="8963" max="8963" width="20.7109375" style="5" customWidth="1"/>
    <col min="8964" max="8964" width="21.85546875" style="5" customWidth="1"/>
    <col min="8965" max="8965" width="19" style="5" customWidth="1"/>
    <col min="8966" max="8966" width="13" style="5" customWidth="1"/>
    <col min="8967" max="9216" width="9.140625" style="5"/>
    <col min="9217" max="9217" width="5.85546875" style="5" customWidth="1"/>
    <col min="9218" max="9218" width="45" style="5" customWidth="1"/>
    <col min="9219" max="9219" width="20.7109375" style="5" customWidth="1"/>
    <col min="9220" max="9220" width="21.85546875" style="5" customWidth="1"/>
    <col min="9221" max="9221" width="19" style="5" customWidth="1"/>
    <col min="9222" max="9222" width="13" style="5" customWidth="1"/>
    <col min="9223" max="9472" width="9.140625" style="5"/>
    <col min="9473" max="9473" width="5.85546875" style="5" customWidth="1"/>
    <col min="9474" max="9474" width="45" style="5" customWidth="1"/>
    <col min="9475" max="9475" width="20.7109375" style="5" customWidth="1"/>
    <col min="9476" max="9476" width="21.85546875" style="5" customWidth="1"/>
    <col min="9477" max="9477" width="19" style="5" customWidth="1"/>
    <col min="9478" max="9478" width="13" style="5" customWidth="1"/>
    <col min="9479" max="9728" width="9.140625" style="5"/>
    <col min="9729" max="9729" width="5.85546875" style="5" customWidth="1"/>
    <col min="9730" max="9730" width="45" style="5" customWidth="1"/>
    <col min="9731" max="9731" width="20.7109375" style="5" customWidth="1"/>
    <col min="9732" max="9732" width="21.85546875" style="5" customWidth="1"/>
    <col min="9733" max="9733" width="19" style="5" customWidth="1"/>
    <col min="9734" max="9734" width="13" style="5" customWidth="1"/>
    <col min="9735" max="9984" width="9.140625" style="5"/>
    <col min="9985" max="9985" width="5.85546875" style="5" customWidth="1"/>
    <col min="9986" max="9986" width="45" style="5" customWidth="1"/>
    <col min="9987" max="9987" width="20.7109375" style="5" customWidth="1"/>
    <col min="9988" max="9988" width="21.85546875" style="5" customWidth="1"/>
    <col min="9989" max="9989" width="19" style="5" customWidth="1"/>
    <col min="9990" max="9990" width="13" style="5" customWidth="1"/>
    <col min="9991" max="10240" width="9.140625" style="5"/>
    <col min="10241" max="10241" width="5.85546875" style="5" customWidth="1"/>
    <col min="10242" max="10242" width="45" style="5" customWidth="1"/>
    <col min="10243" max="10243" width="20.7109375" style="5" customWidth="1"/>
    <col min="10244" max="10244" width="21.85546875" style="5" customWidth="1"/>
    <col min="10245" max="10245" width="19" style="5" customWidth="1"/>
    <col min="10246" max="10246" width="13" style="5" customWidth="1"/>
    <col min="10247" max="10496" width="9.140625" style="5"/>
    <col min="10497" max="10497" width="5.85546875" style="5" customWidth="1"/>
    <col min="10498" max="10498" width="45" style="5" customWidth="1"/>
    <col min="10499" max="10499" width="20.7109375" style="5" customWidth="1"/>
    <col min="10500" max="10500" width="21.85546875" style="5" customWidth="1"/>
    <col min="10501" max="10501" width="19" style="5" customWidth="1"/>
    <col min="10502" max="10502" width="13" style="5" customWidth="1"/>
    <col min="10503" max="10752" width="9.140625" style="5"/>
    <col min="10753" max="10753" width="5.85546875" style="5" customWidth="1"/>
    <col min="10754" max="10754" width="45" style="5" customWidth="1"/>
    <col min="10755" max="10755" width="20.7109375" style="5" customWidth="1"/>
    <col min="10756" max="10756" width="21.85546875" style="5" customWidth="1"/>
    <col min="10757" max="10757" width="19" style="5" customWidth="1"/>
    <col min="10758" max="10758" width="13" style="5" customWidth="1"/>
    <col min="10759" max="11008" width="9.140625" style="5"/>
    <col min="11009" max="11009" width="5.85546875" style="5" customWidth="1"/>
    <col min="11010" max="11010" width="45" style="5" customWidth="1"/>
    <col min="11011" max="11011" width="20.7109375" style="5" customWidth="1"/>
    <col min="11012" max="11012" width="21.85546875" style="5" customWidth="1"/>
    <col min="11013" max="11013" width="19" style="5" customWidth="1"/>
    <col min="11014" max="11014" width="13" style="5" customWidth="1"/>
    <col min="11015" max="11264" width="9.140625" style="5"/>
    <col min="11265" max="11265" width="5.85546875" style="5" customWidth="1"/>
    <col min="11266" max="11266" width="45" style="5" customWidth="1"/>
    <col min="11267" max="11267" width="20.7109375" style="5" customWidth="1"/>
    <col min="11268" max="11268" width="21.85546875" style="5" customWidth="1"/>
    <col min="11269" max="11269" width="19" style="5" customWidth="1"/>
    <col min="11270" max="11270" width="13" style="5" customWidth="1"/>
    <col min="11271" max="11520" width="9.140625" style="5"/>
    <col min="11521" max="11521" width="5.85546875" style="5" customWidth="1"/>
    <col min="11522" max="11522" width="45" style="5" customWidth="1"/>
    <col min="11523" max="11523" width="20.7109375" style="5" customWidth="1"/>
    <col min="11524" max="11524" width="21.85546875" style="5" customWidth="1"/>
    <col min="11525" max="11525" width="19" style="5" customWidth="1"/>
    <col min="11526" max="11526" width="13" style="5" customWidth="1"/>
    <col min="11527" max="11776" width="9.140625" style="5"/>
    <col min="11777" max="11777" width="5.85546875" style="5" customWidth="1"/>
    <col min="11778" max="11778" width="45" style="5" customWidth="1"/>
    <col min="11779" max="11779" width="20.7109375" style="5" customWidth="1"/>
    <col min="11780" max="11780" width="21.85546875" style="5" customWidth="1"/>
    <col min="11781" max="11781" width="19" style="5" customWidth="1"/>
    <col min="11782" max="11782" width="13" style="5" customWidth="1"/>
    <col min="11783" max="12032" width="9.140625" style="5"/>
    <col min="12033" max="12033" width="5.85546875" style="5" customWidth="1"/>
    <col min="12034" max="12034" width="45" style="5" customWidth="1"/>
    <col min="12035" max="12035" width="20.7109375" style="5" customWidth="1"/>
    <col min="12036" max="12036" width="21.85546875" style="5" customWidth="1"/>
    <col min="12037" max="12037" width="19" style="5" customWidth="1"/>
    <col min="12038" max="12038" width="13" style="5" customWidth="1"/>
    <col min="12039" max="12288" width="9.140625" style="5"/>
    <col min="12289" max="12289" width="5.85546875" style="5" customWidth="1"/>
    <col min="12290" max="12290" width="45" style="5" customWidth="1"/>
    <col min="12291" max="12291" width="20.7109375" style="5" customWidth="1"/>
    <col min="12292" max="12292" width="21.85546875" style="5" customWidth="1"/>
    <col min="12293" max="12293" width="19" style="5" customWidth="1"/>
    <col min="12294" max="12294" width="13" style="5" customWidth="1"/>
    <col min="12295" max="12544" width="9.140625" style="5"/>
    <col min="12545" max="12545" width="5.85546875" style="5" customWidth="1"/>
    <col min="12546" max="12546" width="45" style="5" customWidth="1"/>
    <col min="12547" max="12547" width="20.7109375" style="5" customWidth="1"/>
    <col min="12548" max="12548" width="21.85546875" style="5" customWidth="1"/>
    <col min="12549" max="12549" width="19" style="5" customWidth="1"/>
    <col min="12550" max="12550" width="13" style="5" customWidth="1"/>
    <col min="12551" max="12800" width="9.140625" style="5"/>
    <col min="12801" max="12801" width="5.85546875" style="5" customWidth="1"/>
    <col min="12802" max="12802" width="45" style="5" customWidth="1"/>
    <col min="12803" max="12803" width="20.7109375" style="5" customWidth="1"/>
    <col min="12804" max="12804" width="21.85546875" style="5" customWidth="1"/>
    <col min="12805" max="12805" width="19" style="5" customWidth="1"/>
    <col min="12806" max="12806" width="13" style="5" customWidth="1"/>
    <col min="12807" max="13056" width="9.140625" style="5"/>
    <col min="13057" max="13057" width="5.85546875" style="5" customWidth="1"/>
    <col min="13058" max="13058" width="45" style="5" customWidth="1"/>
    <col min="13059" max="13059" width="20.7109375" style="5" customWidth="1"/>
    <col min="13060" max="13060" width="21.85546875" style="5" customWidth="1"/>
    <col min="13061" max="13061" width="19" style="5" customWidth="1"/>
    <col min="13062" max="13062" width="13" style="5" customWidth="1"/>
    <col min="13063" max="13312" width="9.140625" style="5"/>
    <col min="13313" max="13313" width="5.85546875" style="5" customWidth="1"/>
    <col min="13314" max="13314" width="45" style="5" customWidth="1"/>
    <col min="13315" max="13315" width="20.7109375" style="5" customWidth="1"/>
    <col min="13316" max="13316" width="21.85546875" style="5" customWidth="1"/>
    <col min="13317" max="13317" width="19" style="5" customWidth="1"/>
    <col min="13318" max="13318" width="13" style="5" customWidth="1"/>
    <col min="13319" max="13568" width="9.140625" style="5"/>
    <col min="13569" max="13569" width="5.85546875" style="5" customWidth="1"/>
    <col min="13570" max="13570" width="45" style="5" customWidth="1"/>
    <col min="13571" max="13571" width="20.7109375" style="5" customWidth="1"/>
    <col min="13572" max="13572" width="21.85546875" style="5" customWidth="1"/>
    <col min="13573" max="13573" width="19" style="5" customWidth="1"/>
    <col min="13574" max="13574" width="13" style="5" customWidth="1"/>
    <col min="13575" max="13824" width="9.140625" style="5"/>
    <col min="13825" max="13825" width="5.85546875" style="5" customWidth="1"/>
    <col min="13826" max="13826" width="45" style="5" customWidth="1"/>
    <col min="13827" max="13827" width="20.7109375" style="5" customWidth="1"/>
    <col min="13828" max="13828" width="21.85546875" style="5" customWidth="1"/>
    <col min="13829" max="13829" width="19" style="5" customWidth="1"/>
    <col min="13830" max="13830" width="13" style="5" customWidth="1"/>
    <col min="13831" max="14080" width="9.140625" style="5"/>
    <col min="14081" max="14081" width="5.85546875" style="5" customWidth="1"/>
    <col min="14082" max="14082" width="45" style="5" customWidth="1"/>
    <col min="14083" max="14083" width="20.7109375" style="5" customWidth="1"/>
    <col min="14084" max="14084" width="21.85546875" style="5" customWidth="1"/>
    <col min="14085" max="14085" width="19" style="5" customWidth="1"/>
    <col min="14086" max="14086" width="13" style="5" customWidth="1"/>
    <col min="14087" max="14336" width="9.140625" style="5"/>
    <col min="14337" max="14337" width="5.85546875" style="5" customWidth="1"/>
    <col min="14338" max="14338" width="45" style="5" customWidth="1"/>
    <col min="14339" max="14339" width="20.7109375" style="5" customWidth="1"/>
    <col min="14340" max="14340" width="21.85546875" style="5" customWidth="1"/>
    <col min="14341" max="14341" width="19" style="5" customWidth="1"/>
    <col min="14342" max="14342" width="13" style="5" customWidth="1"/>
    <col min="14343" max="14592" width="9.140625" style="5"/>
    <col min="14593" max="14593" width="5.85546875" style="5" customWidth="1"/>
    <col min="14594" max="14594" width="45" style="5" customWidth="1"/>
    <col min="14595" max="14595" width="20.7109375" style="5" customWidth="1"/>
    <col min="14596" max="14596" width="21.85546875" style="5" customWidth="1"/>
    <col min="14597" max="14597" width="19" style="5" customWidth="1"/>
    <col min="14598" max="14598" width="13" style="5" customWidth="1"/>
    <col min="14599" max="14848" width="9.140625" style="5"/>
    <col min="14849" max="14849" width="5.85546875" style="5" customWidth="1"/>
    <col min="14850" max="14850" width="45" style="5" customWidth="1"/>
    <col min="14851" max="14851" width="20.7109375" style="5" customWidth="1"/>
    <col min="14852" max="14852" width="21.85546875" style="5" customWidth="1"/>
    <col min="14853" max="14853" width="19" style="5" customWidth="1"/>
    <col min="14854" max="14854" width="13" style="5" customWidth="1"/>
    <col min="14855" max="15104" width="9.140625" style="5"/>
    <col min="15105" max="15105" width="5.85546875" style="5" customWidth="1"/>
    <col min="15106" max="15106" width="45" style="5" customWidth="1"/>
    <col min="15107" max="15107" width="20.7109375" style="5" customWidth="1"/>
    <col min="15108" max="15108" width="21.85546875" style="5" customWidth="1"/>
    <col min="15109" max="15109" width="19" style="5" customWidth="1"/>
    <col min="15110" max="15110" width="13" style="5" customWidth="1"/>
    <col min="15111" max="15360" width="9.140625" style="5"/>
    <col min="15361" max="15361" width="5.85546875" style="5" customWidth="1"/>
    <col min="15362" max="15362" width="45" style="5" customWidth="1"/>
    <col min="15363" max="15363" width="20.7109375" style="5" customWidth="1"/>
    <col min="15364" max="15364" width="21.85546875" style="5" customWidth="1"/>
    <col min="15365" max="15365" width="19" style="5" customWidth="1"/>
    <col min="15366" max="15366" width="13" style="5" customWidth="1"/>
    <col min="15367" max="15616" width="9.140625" style="5"/>
    <col min="15617" max="15617" width="5.85546875" style="5" customWidth="1"/>
    <col min="15618" max="15618" width="45" style="5" customWidth="1"/>
    <col min="15619" max="15619" width="20.7109375" style="5" customWidth="1"/>
    <col min="15620" max="15620" width="21.85546875" style="5" customWidth="1"/>
    <col min="15621" max="15621" width="19" style="5" customWidth="1"/>
    <col min="15622" max="15622" width="13" style="5" customWidth="1"/>
    <col min="15623" max="15872" width="9.140625" style="5"/>
    <col min="15873" max="15873" width="5.85546875" style="5" customWidth="1"/>
    <col min="15874" max="15874" width="45" style="5" customWidth="1"/>
    <col min="15875" max="15875" width="20.7109375" style="5" customWidth="1"/>
    <col min="15876" max="15876" width="21.85546875" style="5" customWidth="1"/>
    <col min="15877" max="15877" width="19" style="5" customWidth="1"/>
    <col min="15878" max="15878" width="13" style="5" customWidth="1"/>
    <col min="15879" max="16128" width="9.140625" style="5"/>
    <col min="16129" max="16129" width="5.85546875" style="5" customWidth="1"/>
    <col min="16130" max="16130" width="45" style="5" customWidth="1"/>
    <col min="16131" max="16131" width="20.7109375" style="5" customWidth="1"/>
    <col min="16132" max="16132" width="21.85546875" style="5" customWidth="1"/>
    <col min="16133" max="16133" width="19" style="5" customWidth="1"/>
    <col min="16134" max="16134" width="13" style="5" customWidth="1"/>
    <col min="16135" max="16384" width="9.140625" style="5"/>
  </cols>
  <sheetData>
    <row r="1" spans="1:6" ht="21" customHeight="1">
      <c r="A1" s="114" t="s">
        <v>165</v>
      </c>
      <c r="B1" s="2"/>
      <c r="C1" s="3"/>
      <c r="D1" s="4"/>
      <c r="E1" s="4"/>
    </row>
    <row r="2" spans="1:6" ht="18.75">
      <c r="A2" s="1"/>
      <c r="B2" s="1"/>
      <c r="C2" s="3"/>
      <c r="D2" s="3"/>
      <c r="E2" s="3"/>
      <c r="F2" s="3"/>
    </row>
    <row r="3" spans="1:6" ht="21" customHeight="1">
      <c r="A3" s="355" t="s">
        <v>450</v>
      </c>
      <c r="B3" s="355"/>
      <c r="C3" s="355"/>
      <c r="D3" s="355"/>
      <c r="E3" s="355"/>
      <c r="F3" s="355"/>
    </row>
    <row r="4" spans="1:6" ht="21" customHeight="1">
      <c r="A4" s="356" t="s">
        <v>562</v>
      </c>
      <c r="B4" s="356"/>
      <c r="C4" s="356"/>
      <c r="D4" s="356"/>
      <c r="E4" s="356"/>
      <c r="F4" s="356"/>
    </row>
    <row r="5" spans="1:6" ht="9.75" customHeight="1">
      <c r="A5" s="4"/>
      <c r="B5" s="6"/>
      <c r="C5" s="3"/>
      <c r="D5" s="3"/>
      <c r="E5" s="3"/>
      <c r="F5" s="3"/>
    </row>
    <row r="6" spans="1:6" ht="9.75" customHeight="1">
      <c r="A6" s="6"/>
      <c r="B6" s="6"/>
      <c r="C6" s="3"/>
      <c r="D6" s="3"/>
      <c r="E6" s="3"/>
      <c r="F6" s="3"/>
    </row>
    <row r="7" spans="1:6" ht="19.5" customHeight="1">
      <c r="A7" s="201"/>
      <c r="B7" s="201"/>
      <c r="C7" s="7"/>
      <c r="D7" s="357" t="s">
        <v>1</v>
      </c>
      <c r="E7" s="357"/>
      <c r="F7" s="357"/>
    </row>
    <row r="8" spans="1:6" s="8" customFormat="1" ht="21.75" customHeight="1">
      <c r="A8" s="358" t="s">
        <v>166</v>
      </c>
      <c r="B8" s="359" t="s">
        <v>167</v>
      </c>
      <c r="C8" s="358" t="s">
        <v>4</v>
      </c>
      <c r="D8" s="359" t="s">
        <v>5</v>
      </c>
      <c r="E8" s="359" t="s">
        <v>448</v>
      </c>
      <c r="F8" s="359"/>
    </row>
    <row r="9" spans="1:6" s="8" customFormat="1" ht="23.25" customHeight="1">
      <c r="A9" s="358"/>
      <c r="B9" s="359"/>
      <c r="C9" s="358"/>
      <c r="D9" s="359"/>
      <c r="E9" s="9" t="s">
        <v>168</v>
      </c>
      <c r="F9" s="9" t="s">
        <v>169</v>
      </c>
    </row>
    <row r="10" spans="1:6" s="12" customFormat="1" ht="17.25" customHeight="1">
      <c r="A10" s="10" t="s">
        <v>7</v>
      </c>
      <c r="B10" s="10" t="s">
        <v>24</v>
      </c>
      <c r="C10" s="10">
        <v>1</v>
      </c>
      <c r="D10" s="10">
        <f>C10+1</f>
        <v>2</v>
      </c>
      <c r="E10" s="10" t="s">
        <v>170</v>
      </c>
      <c r="F10" s="11" t="s">
        <v>171</v>
      </c>
    </row>
    <row r="11" spans="1:6" s="16" customFormat="1" ht="28.5" customHeight="1">
      <c r="A11" s="13" t="s">
        <v>7</v>
      </c>
      <c r="B11" s="123" t="s">
        <v>172</v>
      </c>
      <c r="C11" s="14">
        <f>C12+C15+C18+C19+C20</f>
        <v>342953000000</v>
      </c>
      <c r="D11" s="14">
        <f>D12+D15+D18+D19+D20</f>
        <v>470568988244</v>
      </c>
      <c r="E11" s="15">
        <f>D11-C11</f>
        <v>127615988244</v>
      </c>
      <c r="F11" s="82">
        <f>D11/C11</f>
        <v>1.3721092634967473</v>
      </c>
    </row>
    <row r="12" spans="1:6" s="16" customFormat="1" ht="42" customHeight="1">
      <c r="A12" s="17" t="s">
        <v>9</v>
      </c>
      <c r="B12" s="18" t="s">
        <v>173</v>
      </c>
      <c r="C12" s="15">
        <f>SUM(C13:C14)</f>
        <v>26956000000</v>
      </c>
      <c r="D12" s="15">
        <f>SUM(D13:D14)</f>
        <v>47531993808</v>
      </c>
      <c r="E12" s="15">
        <f>SUM(E13:E14)</f>
        <v>20575993808</v>
      </c>
      <c r="F12" s="83">
        <f>D12/C12</f>
        <v>1.7633177699955482</v>
      </c>
    </row>
    <row r="13" spans="1:6" s="16" customFormat="1" ht="21.95" customHeight="1">
      <c r="A13" s="19" t="s">
        <v>13</v>
      </c>
      <c r="B13" s="20" t="s">
        <v>174</v>
      </c>
      <c r="C13" s="21">
        <f>13678000000+7040000000</f>
        <v>20718000000</v>
      </c>
      <c r="D13" s="21">
        <v>11718230612</v>
      </c>
      <c r="E13" s="21">
        <f>D13-C13</f>
        <v>-8999769388</v>
      </c>
      <c r="F13" s="84">
        <f>D13/C13</f>
        <v>0.56560626566270877</v>
      </c>
    </row>
    <row r="14" spans="1:6" s="16" customFormat="1" ht="42" customHeight="1">
      <c r="A14" s="19" t="s">
        <v>13</v>
      </c>
      <c r="B14" s="20" t="s">
        <v>175</v>
      </c>
      <c r="C14" s="21">
        <v>6238000000</v>
      </c>
      <c r="D14" s="21">
        <v>35813763196</v>
      </c>
      <c r="E14" s="21">
        <f>D14-C14</f>
        <v>29575763196</v>
      </c>
      <c r="F14" s="84">
        <f t="shared" ref="F14:F17" si="0">D14/C14</f>
        <v>5.7412252638666237</v>
      </c>
    </row>
    <row r="15" spans="1:6" s="22" customFormat="1" ht="21.95" customHeight="1">
      <c r="A15" s="17" t="s">
        <v>17</v>
      </c>
      <c r="B15" s="18" t="s">
        <v>176</v>
      </c>
      <c r="C15" s="15">
        <f>SUM(C16:C17)</f>
        <v>315997000000</v>
      </c>
      <c r="D15" s="15">
        <f>SUM(D16:D17)</f>
        <v>339891689000</v>
      </c>
      <c r="E15" s="15">
        <f>D15-C15</f>
        <v>23894689000</v>
      </c>
      <c r="F15" s="83">
        <f t="shared" si="0"/>
        <v>1.0756168223116043</v>
      </c>
    </row>
    <row r="16" spans="1:6" s="16" customFormat="1" ht="21.95" customHeight="1">
      <c r="A16" s="23">
        <v>1</v>
      </c>
      <c r="B16" s="20" t="s">
        <v>177</v>
      </c>
      <c r="C16" s="21">
        <v>273997000000</v>
      </c>
      <c r="D16" s="21">
        <v>273997000000</v>
      </c>
      <c r="E16" s="21">
        <f t="shared" ref="E16:E41" si="1">D16-C16</f>
        <v>0</v>
      </c>
      <c r="F16" s="84">
        <f t="shared" si="0"/>
        <v>1</v>
      </c>
    </row>
    <row r="17" spans="1:6" s="16" customFormat="1" ht="21.95" customHeight="1">
      <c r="A17" s="23">
        <f>A16+1</f>
        <v>2</v>
      </c>
      <c r="B17" s="20" t="s">
        <v>178</v>
      </c>
      <c r="C17" s="21">
        <v>42000000000</v>
      </c>
      <c r="D17" s="21">
        <v>65894689000</v>
      </c>
      <c r="E17" s="21">
        <f t="shared" si="1"/>
        <v>23894689000</v>
      </c>
      <c r="F17" s="84">
        <f t="shared" si="0"/>
        <v>1.5689211666666667</v>
      </c>
    </row>
    <row r="18" spans="1:6" s="24" customFormat="1" ht="21.95" customHeight="1">
      <c r="A18" s="17" t="s">
        <v>59</v>
      </c>
      <c r="B18" s="18" t="s">
        <v>179</v>
      </c>
      <c r="C18" s="21"/>
      <c r="D18" s="21"/>
      <c r="E18" s="21">
        <f t="shared" si="1"/>
        <v>0</v>
      </c>
      <c r="F18" s="84"/>
    </row>
    <row r="19" spans="1:6" s="24" customFormat="1" ht="21.95" customHeight="1">
      <c r="A19" s="17" t="s">
        <v>60</v>
      </c>
      <c r="B19" s="18" t="s">
        <v>180</v>
      </c>
      <c r="C19" s="21"/>
      <c r="D19" s="21">
        <v>5767568104</v>
      </c>
      <c r="E19" s="21">
        <f t="shared" si="1"/>
        <v>5767568104</v>
      </c>
      <c r="F19" s="84"/>
    </row>
    <row r="20" spans="1:6" s="24" customFormat="1" ht="42" customHeight="1">
      <c r="A20" s="17" t="s">
        <v>20</v>
      </c>
      <c r="B20" s="18" t="s">
        <v>181</v>
      </c>
      <c r="C20" s="21"/>
      <c r="D20" s="21">
        <v>77377737332</v>
      </c>
      <c r="E20" s="21">
        <f t="shared" si="1"/>
        <v>77377737332</v>
      </c>
      <c r="F20" s="84"/>
    </row>
    <row r="21" spans="1:6" s="16" customFormat="1" ht="24" customHeight="1">
      <c r="A21" s="17" t="s">
        <v>24</v>
      </c>
      <c r="B21" s="124" t="s">
        <v>45</v>
      </c>
      <c r="C21" s="15">
        <f>C22+C29+C32+C33</f>
        <v>342953000000</v>
      </c>
      <c r="D21" s="15">
        <f>D22+D29+D32+D33</f>
        <v>464000483694</v>
      </c>
      <c r="E21" s="15">
        <f t="shared" si="1"/>
        <v>121047483694</v>
      </c>
      <c r="F21" s="83">
        <f>D21/C21</f>
        <v>1.3529564800249596</v>
      </c>
    </row>
    <row r="22" spans="1:6" s="167" customFormat="1" ht="21.95" customHeight="1">
      <c r="A22" s="17" t="s">
        <v>9</v>
      </c>
      <c r="B22" s="18" t="s">
        <v>182</v>
      </c>
      <c r="C22" s="15">
        <f>SUM(C23:C28)</f>
        <v>300953000000</v>
      </c>
      <c r="D22" s="15">
        <f>SUM(D23:D28)</f>
        <v>307686205892</v>
      </c>
      <c r="E22" s="15">
        <f t="shared" si="1"/>
        <v>6733205892</v>
      </c>
      <c r="F22" s="83">
        <f>D22/C22</f>
        <v>1.0223729482410875</v>
      </c>
    </row>
    <row r="23" spans="1:6" s="16" customFormat="1" ht="21.95" customHeight="1">
      <c r="A23" s="23">
        <v>1</v>
      </c>
      <c r="B23" s="20" t="s">
        <v>183</v>
      </c>
      <c r="C23" s="21">
        <f>'51'!C12</f>
        <v>22990000000</v>
      </c>
      <c r="D23" s="21">
        <f>'51'!D13</f>
        <v>19346248981</v>
      </c>
      <c r="E23" s="21">
        <f t="shared" si="1"/>
        <v>-3643751019</v>
      </c>
      <c r="F23" s="84">
        <f t="shared" ref="F23:F24" si="2">D23/C23</f>
        <v>0.84150713270987387</v>
      </c>
    </row>
    <row r="24" spans="1:6" s="16" customFormat="1" ht="21.95" customHeight="1">
      <c r="A24" s="23">
        <f>A23+1</f>
        <v>2</v>
      </c>
      <c r="B24" s="20" t="s">
        <v>18</v>
      </c>
      <c r="C24" s="21">
        <f>'51'!C22</f>
        <v>268607000000</v>
      </c>
      <c r="D24" s="21">
        <f>'51'!D22</f>
        <v>288339956911</v>
      </c>
      <c r="E24" s="21">
        <f t="shared" si="1"/>
        <v>19732956911</v>
      </c>
      <c r="F24" s="84">
        <f t="shared" si="2"/>
        <v>1.0734640456540596</v>
      </c>
    </row>
    <row r="25" spans="1:6" s="16" customFormat="1" ht="42" customHeight="1">
      <c r="A25" s="23">
        <f>A24+1</f>
        <v>3</v>
      </c>
      <c r="B25" s="20" t="s">
        <v>184</v>
      </c>
      <c r="C25" s="21"/>
      <c r="D25" s="21"/>
      <c r="E25" s="21"/>
      <c r="F25" s="84"/>
    </row>
    <row r="26" spans="1:6" s="25" customFormat="1" ht="21.95" customHeight="1">
      <c r="A26" s="23">
        <f>A25+1</f>
        <v>4</v>
      </c>
      <c r="B26" s="20" t="s">
        <v>185</v>
      </c>
      <c r="C26" s="21"/>
      <c r="D26" s="21"/>
      <c r="E26" s="21"/>
      <c r="F26" s="84"/>
    </row>
    <row r="27" spans="1:6" s="25" customFormat="1" ht="21.95" customHeight="1">
      <c r="A27" s="23">
        <f>A26+1</f>
        <v>5</v>
      </c>
      <c r="B27" s="20" t="s">
        <v>21</v>
      </c>
      <c r="C27" s="21">
        <v>5880000000</v>
      </c>
      <c r="D27" s="21"/>
      <c r="E27" s="21"/>
      <c r="F27" s="84">
        <f>D27/C27</f>
        <v>0</v>
      </c>
    </row>
    <row r="28" spans="1:6" s="16" customFormat="1" ht="21.95" customHeight="1">
      <c r="A28" s="23">
        <f>A27+1</f>
        <v>6</v>
      </c>
      <c r="B28" s="20" t="s">
        <v>23</v>
      </c>
      <c r="C28" s="21">
        <v>3476000000</v>
      </c>
      <c r="D28" s="21"/>
      <c r="E28" s="21"/>
      <c r="F28" s="84">
        <f>D28/C28</f>
        <v>0</v>
      </c>
    </row>
    <row r="29" spans="1:6" s="16" customFormat="1" ht="21.95" customHeight="1">
      <c r="A29" s="17" t="s">
        <v>17</v>
      </c>
      <c r="B29" s="18" t="s">
        <v>186</v>
      </c>
      <c r="C29" s="15">
        <f>SUM(C30:C31)</f>
        <v>42000000000</v>
      </c>
      <c r="D29" s="15">
        <f>SUM(D30:D31)</f>
        <v>54193411534</v>
      </c>
      <c r="E29" s="15">
        <f t="shared" si="1"/>
        <v>12193411534</v>
      </c>
      <c r="F29" s="83">
        <f>D29/C29</f>
        <v>1.2903193222380953</v>
      </c>
    </row>
    <row r="30" spans="1:6" s="16" customFormat="1" ht="21.95" customHeight="1">
      <c r="A30" s="23">
        <v>1</v>
      </c>
      <c r="B30" s="20" t="s">
        <v>26</v>
      </c>
      <c r="C30" s="21"/>
      <c r="D30" s="21">
        <v>240644072</v>
      </c>
      <c r="E30" s="21">
        <f t="shared" si="1"/>
        <v>240644072</v>
      </c>
      <c r="F30" s="84"/>
    </row>
    <row r="31" spans="1:6" s="16" customFormat="1" ht="21.95" customHeight="1">
      <c r="A31" s="23">
        <f>A30+1</f>
        <v>2</v>
      </c>
      <c r="B31" s="20" t="s">
        <v>187</v>
      </c>
      <c r="C31" s="21">
        <f>'51'!C28</f>
        <v>42000000000</v>
      </c>
      <c r="D31" s="21">
        <f>'51'!D38</f>
        <v>53952767462</v>
      </c>
      <c r="E31" s="21">
        <f t="shared" si="1"/>
        <v>11952767462</v>
      </c>
      <c r="F31" s="84">
        <f>D31/C31</f>
        <v>1.2845897014761904</v>
      </c>
    </row>
    <row r="32" spans="1:6" s="16" customFormat="1" ht="21.95" customHeight="1">
      <c r="A32" s="17" t="s">
        <v>59</v>
      </c>
      <c r="B32" s="18" t="s">
        <v>110</v>
      </c>
      <c r="C32" s="127"/>
      <c r="D32" s="127">
        <v>89824758156</v>
      </c>
      <c r="E32" s="127">
        <f>D32-C32</f>
        <v>89824758156</v>
      </c>
      <c r="F32" s="128"/>
    </row>
    <row r="33" spans="1:6" s="16" customFormat="1" ht="21.95" customHeight="1">
      <c r="A33" s="17" t="s">
        <v>60</v>
      </c>
      <c r="B33" s="18" t="s">
        <v>188</v>
      </c>
      <c r="C33" s="127"/>
      <c r="D33" s="127">
        <v>12296108112</v>
      </c>
      <c r="E33" s="127">
        <f t="shared" si="1"/>
        <v>12296108112</v>
      </c>
      <c r="F33" s="128"/>
    </row>
    <row r="34" spans="1:6" s="28" customFormat="1" ht="21.95" customHeight="1">
      <c r="A34" s="26" t="s">
        <v>42</v>
      </c>
      <c r="B34" s="18" t="s">
        <v>189</v>
      </c>
      <c r="C34" s="27"/>
      <c r="D34" s="129">
        <f>D11-D21</f>
        <v>6568504550</v>
      </c>
      <c r="E34" s="127">
        <f t="shared" si="1"/>
        <v>6568504550</v>
      </c>
      <c r="F34" s="84"/>
    </row>
    <row r="35" spans="1:6" s="29" customFormat="1" ht="21.95" customHeight="1">
      <c r="A35" s="26" t="s">
        <v>190</v>
      </c>
      <c r="B35" s="18" t="s">
        <v>191</v>
      </c>
      <c r="C35" s="27"/>
      <c r="D35" s="27"/>
      <c r="E35" s="21">
        <f t="shared" si="1"/>
        <v>0</v>
      </c>
      <c r="F35" s="85"/>
    </row>
    <row r="36" spans="1:6" s="30" customFormat="1" ht="21.95" customHeight="1">
      <c r="A36" s="17" t="s">
        <v>9</v>
      </c>
      <c r="B36" s="18" t="s">
        <v>192</v>
      </c>
      <c r="C36" s="27"/>
      <c r="D36" s="27"/>
      <c r="E36" s="21">
        <f t="shared" si="1"/>
        <v>0</v>
      </c>
      <c r="F36" s="85"/>
    </row>
    <row r="37" spans="1:6" s="30" customFormat="1" ht="42" customHeight="1">
      <c r="A37" s="17" t="s">
        <v>17</v>
      </c>
      <c r="B37" s="18" t="s">
        <v>193</v>
      </c>
      <c r="C37" s="27"/>
      <c r="D37" s="27"/>
      <c r="E37" s="21">
        <f t="shared" si="1"/>
        <v>0</v>
      </c>
      <c r="F37" s="85"/>
    </row>
    <row r="38" spans="1:6" s="29" customFormat="1" ht="21.95" customHeight="1">
      <c r="A38" s="17" t="s">
        <v>194</v>
      </c>
      <c r="B38" s="31" t="s">
        <v>195</v>
      </c>
      <c r="C38" s="27"/>
      <c r="D38" s="27"/>
      <c r="E38" s="21">
        <f t="shared" si="1"/>
        <v>0</v>
      </c>
      <c r="F38" s="85"/>
    </row>
    <row r="39" spans="1:6" s="30" customFormat="1" ht="21.95" customHeight="1">
      <c r="A39" s="17" t="s">
        <v>9</v>
      </c>
      <c r="B39" s="18" t="s">
        <v>196</v>
      </c>
      <c r="C39" s="27"/>
      <c r="D39" s="27"/>
      <c r="E39" s="21">
        <f t="shared" si="1"/>
        <v>0</v>
      </c>
      <c r="F39" s="85"/>
    </row>
    <row r="40" spans="1:6" s="30" customFormat="1" ht="21.95" customHeight="1">
      <c r="A40" s="17" t="s">
        <v>17</v>
      </c>
      <c r="B40" s="18" t="s">
        <v>197</v>
      </c>
      <c r="C40" s="27"/>
      <c r="D40" s="27"/>
      <c r="E40" s="21">
        <f t="shared" si="1"/>
        <v>0</v>
      </c>
      <c r="F40" s="85"/>
    </row>
    <row r="41" spans="1:6" s="29" customFormat="1" ht="42" customHeight="1">
      <c r="A41" s="26" t="s">
        <v>198</v>
      </c>
      <c r="B41" s="31" t="s">
        <v>199</v>
      </c>
      <c r="C41" s="27"/>
      <c r="D41" s="27"/>
      <c r="E41" s="21">
        <f t="shared" si="1"/>
        <v>0</v>
      </c>
      <c r="F41" s="85"/>
    </row>
    <row r="42" spans="1:6" s="25" customFormat="1" ht="18.75">
      <c r="A42" s="32"/>
      <c r="B42" s="33"/>
      <c r="C42" s="34"/>
      <c r="D42" s="34"/>
      <c r="E42" s="34"/>
      <c r="F42" s="86"/>
    </row>
    <row r="43" spans="1:6" s="25" customFormat="1" ht="6" customHeight="1">
      <c r="A43" s="134"/>
      <c r="B43" s="133"/>
      <c r="C43" s="135"/>
      <c r="D43" s="135"/>
      <c r="E43" s="135"/>
      <c r="F43" s="136"/>
    </row>
    <row r="44" spans="1:6" s="25" customFormat="1" ht="36.75" customHeight="1">
      <c r="A44" s="360" t="s">
        <v>464</v>
      </c>
      <c r="B44" s="360"/>
      <c r="C44" s="360"/>
      <c r="D44" s="360"/>
      <c r="E44" s="360"/>
      <c r="F44" s="360"/>
    </row>
    <row r="45" spans="1:6" s="25" customFormat="1" ht="18.75">
      <c r="A45" s="35"/>
      <c r="B45" s="36"/>
      <c r="C45" s="37"/>
      <c r="D45" s="37"/>
      <c r="E45" s="37"/>
      <c r="F45" s="38"/>
    </row>
    <row r="46" spans="1:6" s="25" customFormat="1" ht="18.75">
      <c r="A46" s="35"/>
      <c r="B46" s="36"/>
      <c r="C46" s="37"/>
      <c r="D46" s="37"/>
      <c r="E46" s="37"/>
      <c r="F46" s="38"/>
    </row>
    <row r="47" spans="1:6" s="25" customFormat="1" ht="18.75">
      <c r="A47" s="35"/>
      <c r="B47" s="36"/>
      <c r="C47" s="37"/>
      <c r="D47" s="37"/>
      <c r="E47" s="37"/>
      <c r="F47" s="38"/>
    </row>
    <row r="48" spans="1:6" s="25" customFormat="1" ht="18.75">
      <c r="A48" s="35"/>
      <c r="B48" s="36"/>
      <c r="C48" s="37"/>
      <c r="D48" s="37"/>
      <c r="E48" s="37"/>
      <c r="F48" s="38"/>
    </row>
    <row r="49" spans="1:6" s="25" customFormat="1" ht="18.75">
      <c r="A49" s="35"/>
      <c r="B49" s="36"/>
      <c r="C49" s="37"/>
      <c r="D49" s="37"/>
      <c r="E49" s="37"/>
      <c r="F49" s="38"/>
    </row>
    <row r="50" spans="1:6" s="25" customFormat="1" ht="18.75">
      <c r="A50" s="35"/>
      <c r="B50" s="36"/>
      <c r="C50" s="37"/>
      <c r="D50" s="37"/>
      <c r="E50" s="37"/>
      <c r="F50" s="38"/>
    </row>
    <row r="51" spans="1:6" s="25" customFormat="1" ht="18.75">
      <c r="A51" s="35"/>
      <c r="B51" s="36"/>
      <c r="C51" s="37"/>
      <c r="D51" s="37"/>
      <c r="E51" s="37"/>
      <c r="F51" s="38"/>
    </row>
    <row r="52" spans="1:6" s="25" customFormat="1" ht="18.75">
      <c r="A52" s="35"/>
      <c r="B52" s="36"/>
      <c r="C52" s="37"/>
      <c r="D52" s="37"/>
      <c r="E52" s="37"/>
      <c r="F52" s="38"/>
    </row>
    <row r="53" spans="1:6" s="25" customFormat="1" ht="18.75">
      <c r="A53" s="35"/>
      <c r="B53" s="36"/>
      <c r="C53" s="37"/>
      <c r="D53" s="37"/>
      <c r="E53" s="37"/>
      <c r="F53" s="38"/>
    </row>
    <row r="54" spans="1:6" ht="24.75" customHeight="1">
      <c r="A54" s="39" t="s">
        <v>200</v>
      </c>
      <c r="C54" s="40"/>
      <c r="D54" s="40"/>
      <c r="E54" s="40"/>
    </row>
    <row r="55" spans="1:6" ht="21" customHeight="1">
      <c r="A55" s="39"/>
      <c r="B55" s="354" t="s">
        <v>201</v>
      </c>
      <c r="C55" s="354"/>
      <c r="D55" s="354"/>
      <c r="E55" s="354"/>
      <c r="F55" s="354"/>
    </row>
    <row r="56" spans="1:6" ht="6.75" customHeight="1">
      <c r="A56" s="41"/>
      <c r="B56" s="42"/>
    </row>
    <row r="60" spans="1:6" ht="20.25" customHeight="1">
      <c r="A60" s="39" t="s">
        <v>202</v>
      </c>
      <c r="C60" s="40"/>
      <c r="D60" s="40"/>
      <c r="E60" s="40"/>
    </row>
    <row r="61" spans="1:6" ht="20.25" customHeight="1">
      <c r="A61" s="39"/>
      <c r="B61" s="39" t="s">
        <v>203</v>
      </c>
      <c r="C61" s="40"/>
      <c r="D61" s="40"/>
      <c r="E61" s="40"/>
    </row>
    <row r="62" spans="1:6" s="39" customFormat="1" ht="20.25" customHeight="1">
      <c r="B62" s="39" t="s">
        <v>204</v>
      </c>
      <c r="C62" s="41"/>
      <c r="D62" s="41"/>
      <c r="E62" s="41"/>
    </row>
    <row r="64" spans="1:6" ht="18.75">
      <c r="B64" s="42" t="s">
        <v>205</v>
      </c>
    </row>
  </sheetData>
  <mergeCells count="10">
    <mergeCell ref="B55:F55"/>
    <mergeCell ref="A3:F3"/>
    <mergeCell ref="A4:F4"/>
    <mergeCell ref="D7:F7"/>
    <mergeCell ref="A8:A9"/>
    <mergeCell ref="B8:B9"/>
    <mergeCell ref="C8:C9"/>
    <mergeCell ref="D8:D9"/>
    <mergeCell ref="E8:F8"/>
    <mergeCell ref="A44:F44"/>
  </mergeCells>
  <pageMargins left="0.78" right="0.25" top="0.62" bottom="0.56000000000000005" header="0.16" footer="0.19"/>
  <pageSetup paperSize="9" scale="72" fitToHeight="0" orientation="portrait" r:id="rId1"/>
  <headerFooter alignWithMargins="0">
    <oddFooter xml:space="preserve">&amp;C&amp;".VnTime,  Italic"&amp;8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showZeros="0" view="pageBreakPreview" topLeftCell="A55" zoomScaleNormal="100" zoomScaleSheetLayoutView="100" workbookViewId="0">
      <selection activeCell="H19" sqref="H19"/>
    </sheetView>
  </sheetViews>
  <sheetFormatPr defaultRowHeight="15.75"/>
  <cols>
    <col min="1" max="1" width="5.85546875" style="47" customWidth="1"/>
    <col min="2" max="2" width="60.28515625" style="47" customWidth="1"/>
    <col min="3" max="4" width="20.140625" style="47" customWidth="1"/>
    <col min="5" max="5" width="21" style="47" customWidth="1"/>
    <col min="6" max="6" width="20.7109375" style="47" customWidth="1"/>
    <col min="7" max="7" width="13" style="47" customWidth="1"/>
    <col min="8" max="8" width="12.85546875" style="47" customWidth="1"/>
    <col min="9" max="9" width="13" style="47" hidden="1" customWidth="1"/>
    <col min="10" max="10" width="12.28515625" style="47" hidden="1" customWidth="1"/>
    <col min="11" max="256" width="9.140625" style="47"/>
    <col min="257" max="257" width="5.85546875" style="47" customWidth="1"/>
    <col min="258" max="258" width="57.28515625" style="47" customWidth="1"/>
    <col min="259" max="262" width="20.140625" style="47" customWidth="1"/>
    <col min="263" max="263" width="13" style="47" customWidth="1"/>
    <col min="264" max="264" width="11.5703125" style="47" customWidth="1"/>
    <col min="265" max="266" width="0" style="47" hidden="1" customWidth="1"/>
    <col min="267" max="512" width="9.140625" style="47"/>
    <col min="513" max="513" width="5.85546875" style="47" customWidth="1"/>
    <col min="514" max="514" width="57.28515625" style="47" customWidth="1"/>
    <col min="515" max="518" width="20.140625" style="47" customWidth="1"/>
    <col min="519" max="519" width="13" style="47" customWidth="1"/>
    <col min="520" max="520" width="11.5703125" style="47" customWidth="1"/>
    <col min="521" max="522" width="0" style="47" hidden="1" customWidth="1"/>
    <col min="523" max="768" width="9.140625" style="47"/>
    <col min="769" max="769" width="5.85546875" style="47" customWidth="1"/>
    <col min="770" max="770" width="57.28515625" style="47" customWidth="1"/>
    <col min="771" max="774" width="20.140625" style="47" customWidth="1"/>
    <col min="775" max="775" width="13" style="47" customWidth="1"/>
    <col min="776" max="776" width="11.5703125" style="47" customWidth="1"/>
    <col min="777" max="778" width="0" style="47" hidden="1" customWidth="1"/>
    <col min="779" max="1024" width="9.140625" style="47"/>
    <col min="1025" max="1025" width="5.85546875" style="47" customWidth="1"/>
    <col min="1026" max="1026" width="57.28515625" style="47" customWidth="1"/>
    <col min="1027" max="1030" width="20.140625" style="47" customWidth="1"/>
    <col min="1031" max="1031" width="13" style="47" customWidth="1"/>
    <col min="1032" max="1032" width="11.5703125" style="47" customWidth="1"/>
    <col min="1033" max="1034" width="0" style="47" hidden="1" customWidth="1"/>
    <col min="1035" max="1280" width="9.140625" style="47"/>
    <col min="1281" max="1281" width="5.85546875" style="47" customWidth="1"/>
    <col min="1282" max="1282" width="57.28515625" style="47" customWidth="1"/>
    <col min="1283" max="1286" width="20.140625" style="47" customWidth="1"/>
    <col min="1287" max="1287" width="13" style="47" customWidth="1"/>
    <col min="1288" max="1288" width="11.5703125" style="47" customWidth="1"/>
    <col min="1289" max="1290" width="0" style="47" hidden="1" customWidth="1"/>
    <col min="1291" max="1536" width="9.140625" style="47"/>
    <col min="1537" max="1537" width="5.85546875" style="47" customWidth="1"/>
    <col min="1538" max="1538" width="57.28515625" style="47" customWidth="1"/>
    <col min="1539" max="1542" width="20.140625" style="47" customWidth="1"/>
    <col min="1543" max="1543" width="13" style="47" customWidth="1"/>
    <col min="1544" max="1544" width="11.5703125" style="47" customWidth="1"/>
    <col min="1545" max="1546" width="0" style="47" hidden="1" customWidth="1"/>
    <col min="1547" max="1792" width="9.140625" style="47"/>
    <col min="1793" max="1793" width="5.85546875" style="47" customWidth="1"/>
    <col min="1794" max="1794" width="57.28515625" style="47" customWidth="1"/>
    <col min="1795" max="1798" width="20.140625" style="47" customWidth="1"/>
    <col min="1799" max="1799" width="13" style="47" customWidth="1"/>
    <col min="1800" max="1800" width="11.5703125" style="47" customWidth="1"/>
    <col min="1801" max="1802" width="0" style="47" hidden="1" customWidth="1"/>
    <col min="1803" max="2048" width="9.140625" style="47"/>
    <col min="2049" max="2049" width="5.85546875" style="47" customWidth="1"/>
    <col min="2050" max="2050" width="57.28515625" style="47" customWidth="1"/>
    <col min="2051" max="2054" width="20.140625" style="47" customWidth="1"/>
    <col min="2055" max="2055" width="13" style="47" customWidth="1"/>
    <col min="2056" max="2056" width="11.5703125" style="47" customWidth="1"/>
    <col min="2057" max="2058" width="0" style="47" hidden="1" customWidth="1"/>
    <col min="2059" max="2304" width="9.140625" style="47"/>
    <col min="2305" max="2305" width="5.85546875" style="47" customWidth="1"/>
    <col min="2306" max="2306" width="57.28515625" style="47" customWidth="1"/>
    <col min="2307" max="2310" width="20.140625" style="47" customWidth="1"/>
    <col min="2311" max="2311" width="13" style="47" customWidth="1"/>
    <col min="2312" max="2312" width="11.5703125" style="47" customWidth="1"/>
    <col min="2313" max="2314" width="0" style="47" hidden="1" customWidth="1"/>
    <col min="2315" max="2560" width="9.140625" style="47"/>
    <col min="2561" max="2561" width="5.85546875" style="47" customWidth="1"/>
    <col min="2562" max="2562" width="57.28515625" style="47" customWidth="1"/>
    <col min="2563" max="2566" width="20.140625" style="47" customWidth="1"/>
    <col min="2567" max="2567" width="13" style="47" customWidth="1"/>
    <col min="2568" max="2568" width="11.5703125" style="47" customWidth="1"/>
    <col min="2569" max="2570" width="0" style="47" hidden="1" customWidth="1"/>
    <col min="2571" max="2816" width="9.140625" style="47"/>
    <col min="2817" max="2817" width="5.85546875" style="47" customWidth="1"/>
    <col min="2818" max="2818" width="57.28515625" style="47" customWidth="1"/>
    <col min="2819" max="2822" width="20.140625" style="47" customWidth="1"/>
    <col min="2823" max="2823" width="13" style="47" customWidth="1"/>
    <col min="2824" max="2824" width="11.5703125" style="47" customWidth="1"/>
    <col min="2825" max="2826" width="0" style="47" hidden="1" customWidth="1"/>
    <col min="2827" max="3072" width="9.140625" style="47"/>
    <col min="3073" max="3073" width="5.85546875" style="47" customWidth="1"/>
    <col min="3074" max="3074" width="57.28515625" style="47" customWidth="1"/>
    <col min="3075" max="3078" width="20.140625" style="47" customWidth="1"/>
    <col min="3079" max="3079" width="13" style="47" customWidth="1"/>
    <col min="3080" max="3080" width="11.5703125" style="47" customWidth="1"/>
    <col min="3081" max="3082" width="0" style="47" hidden="1" customWidth="1"/>
    <col min="3083" max="3328" width="9.140625" style="47"/>
    <col min="3329" max="3329" width="5.85546875" style="47" customWidth="1"/>
    <col min="3330" max="3330" width="57.28515625" style="47" customWidth="1"/>
    <col min="3331" max="3334" width="20.140625" style="47" customWidth="1"/>
    <col min="3335" max="3335" width="13" style="47" customWidth="1"/>
    <col min="3336" max="3336" width="11.5703125" style="47" customWidth="1"/>
    <col min="3337" max="3338" width="0" style="47" hidden="1" customWidth="1"/>
    <col min="3339" max="3584" width="9.140625" style="47"/>
    <col min="3585" max="3585" width="5.85546875" style="47" customWidth="1"/>
    <col min="3586" max="3586" width="57.28515625" style="47" customWidth="1"/>
    <col min="3587" max="3590" width="20.140625" style="47" customWidth="1"/>
    <col min="3591" max="3591" width="13" style="47" customWidth="1"/>
    <col min="3592" max="3592" width="11.5703125" style="47" customWidth="1"/>
    <col min="3593" max="3594" width="0" style="47" hidden="1" customWidth="1"/>
    <col min="3595" max="3840" width="9.140625" style="47"/>
    <col min="3841" max="3841" width="5.85546875" style="47" customWidth="1"/>
    <col min="3842" max="3842" width="57.28515625" style="47" customWidth="1"/>
    <col min="3843" max="3846" width="20.140625" style="47" customWidth="1"/>
    <col min="3847" max="3847" width="13" style="47" customWidth="1"/>
    <col min="3848" max="3848" width="11.5703125" style="47" customWidth="1"/>
    <col min="3849" max="3850" width="0" style="47" hidden="1" customWidth="1"/>
    <col min="3851" max="4096" width="9.140625" style="47"/>
    <col min="4097" max="4097" width="5.85546875" style="47" customWidth="1"/>
    <col min="4098" max="4098" width="57.28515625" style="47" customWidth="1"/>
    <col min="4099" max="4102" width="20.140625" style="47" customWidth="1"/>
    <col min="4103" max="4103" width="13" style="47" customWidth="1"/>
    <col min="4104" max="4104" width="11.5703125" style="47" customWidth="1"/>
    <col min="4105" max="4106" width="0" style="47" hidden="1" customWidth="1"/>
    <col min="4107" max="4352" width="9.140625" style="47"/>
    <col min="4353" max="4353" width="5.85546875" style="47" customWidth="1"/>
    <col min="4354" max="4354" width="57.28515625" style="47" customWidth="1"/>
    <col min="4355" max="4358" width="20.140625" style="47" customWidth="1"/>
    <col min="4359" max="4359" width="13" style="47" customWidth="1"/>
    <col min="4360" max="4360" width="11.5703125" style="47" customWidth="1"/>
    <col min="4361" max="4362" width="0" style="47" hidden="1" customWidth="1"/>
    <col min="4363" max="4608" width="9.140625" style="47"/>
    <col min="4609" max="4609" width="5.85546875" style="47" customWidth="1"/>
    <col min="4610" max="4610" width="57.28515625" style="47" customWidth="1"/>
    <col min="4611" max="4614" width="20.140625" style="47" customWidth="1"/>
    <col min="4615" max="4615" width="13" style="47" customWidth="1"/>
    <col min="4616" max="4616" width="11.5703125" style="47" customWidth="1"/>
    <col min="4617" max="4618" width="0" style="47" hidden="1" customWidth="1"/>
    <col min="4619" max="4864" width="9.140625" style="47"/>
    <col min="4865" max="4865" width="5.85546875" style="47" customWidth="1"/>
    <col min="4866" max="4866" width="57.28515625" style="47" customWidth="1"/>
    <col min="4867" max="4870" width="20.140625" style="47" customWidth="1"/>
    <col min="4871" max="4871" width="13" style="47" customWidth="1"/>
    <col min="4872" max="4872" width="11.5703125" style="47" customWidth="1"/>
    <col min="4873" max="4874" width="0" style="47" hidden="1" customWidth="1"/>
    <col min="4875" max="5120" width="9.140625" style="47"/>
    <col min="5121" max="5121" width="5.85546875" style="47" customWidth="1"/>
    <col min="5122" max="5122" width="57.28515625" style="47" customWidth="1"/>
    <col min="5123" max="5126" width="20.140625" style="47" customWidth="1"/>
    <col min="5127" max="5127" width="13" style="47" customWidth="1"/>
    <col min="5128" max="5128" width="11.5703125" style="47" customWidth="1"/>
    <col min="5129" max="5130" width="0" style="47" hidden="1" customWidth="1"/>
    <col min="5131" max="5376" width="9.140625" style="47"/>
    <col min="5377" max="5377" width="5.85546875" style="47" customWidth="1"/>
    <col min="5378" max="5378" width="57.28515625" style="47" customWidth="1"/>
    <col min="5379" max="5382" width="20.140625" style="47" customWidth="1"/>
    <col min="5383" max="5383" width="13" style="47" customWidth="1"/>
    <col min="5384" max="5384" width="11.5703125" style="47" customWidth="1"/>
    <col min="5385" max="5386" width="0" style="47" hidden="1" customWidth="1"/>
    <col min="5387" max="5632" width="9.140625" style="47"/>
    <col min="5633" max="5633" width="5.85546875" style="47" customWidth="1"/>
    <col min="5634" max="5634" width="57.28515625" style="47" customWidth="1"/>
    <col min="5635" max="5638" width="20.140625" style="47" customWidth="1"/>
    <col min="5639" max="5639" width="13" style="47" customWidth="1"/>
    <col min="5640" max="5640" width="11.5703125" style="47" customWidth="1"/>
    <col min="5641" max="5642" width="0" style="47" hidden="1" customWidth="1"/>
    <col min="5643" max="5888" width="9.140625" style="47"/>
    <col min="5889" max="5889" width="5.85546875" style="47" customWidth="1"/>
    <col min="5890" max="5890" width="57.28515625" style="47" customWidth="1"/>
    <col min="5891" max="5894" width="20.140625" style="47" customWidth="1"/>
    <col min="5895" max="5895" width="13" style="47" customWidth="1"/>
    <col min="5896" max="5896" width="11.5703125" style="47" customWidth="1"/>
    <col min="5897" max="5898" width="0" style="47" hidden="1" customWidth="1"/>
    <col min="5899" max="6144" width="9.140625" style="47"/>
    <col min="6145" max="6145" width="5.85546875" style="47" customWidth="1"/>
    <col min="6146" max="6146" width="57.28515625" style="47" customWidth="1"/>
    <col min="6147" max="6150" width="20.140625" style="47" customWidth="1"/>
    <col min="6151" max="6151" width="13" style="47" customWidth="1"/>
    <col min="6152" max="6152" width="11.5703125" style="47" customWidth="1"/>
    <col min="6153" max="6154" width="0" style="47" hidden="1" customWidth="1"/>
    <col min="6155" max="6400" width="9.140625" style="47"/>
    <col min="6401" max="6401" width="5.85546875" style="47" customWidth="1"/>
    <col min="6402" max="6402" width="57.28515625" style="47" customWidth="1"/>
    <col min="6403" max="6406" width="20.140625" style="47" customWidth="1"/>
    <col min="6407" max="6407" width="13" style="47" customWidth="1"/>
    <col min="6408" max="6408" width="11.5703125" style="47" customWidth="1"/>
    <col min="6409" max="6410" width="0" style="47" hidden="1" customWidth="1"/>
    <col min="6411" max="6656" width="9.140625" style="47"/>
    <col min="6657" max="6657" width="5.85546875" style="47" customWidth="1"/>
    <col min="6658" max="6658" width="57.28515625" style="47" customWidth="1"/>
    <col min="6659" max="6662" width="20.140625" style="47" customWidth="1"/>
    <col min="6663" max="6663" width="13" style="47" customWidth="1"/>
    <col min="6664" max="6664" width="11.5703125" style="47" customWidth="1"/>
    <col min="6665" max="6666" width="0" style="47" hidden="1" customWidth="1"/>
    <col min="6667" max="6912" width="9.140625" style="47"/>
    <col min="6913" max="6913" width="5.85546875" style="47" customWidth="1"/>
    <col min="6914" max="6914" width="57.28515625" style="47" customWidth="1"/>
    <col min="6915" max="6918" width="20.140625" style="47" customWidth="1"/>
    <col min="6919" max="6919" width="13" style="47" customWidth="1"/>
    <col min="6920" max="6920" width="11.5703125" style="47" customWidth="1"/>
    <col min="6921" max="6922" width="0" style="47" hidden="1" customWidth="1"/>
    <col min="6923" max="7168" width="9.140625" style="47"/>
    <col min="7169" max="7169" width="5.85546875" style="47" customWidth="1"/>
    <col min="7170" max="7170" width="57.28515625" style="47" customWidth="1"/>
    <col min="7171" max="7174" width="20.140625" style="47" customWidth="1"/>
    <col min="7175" max="7175" width="13" style="47" customWidth="1"/>
    <col min="7176" max="7176" width="11.5703125" style="47" customWidth="1"/>
    <col min="7177" max="7178" width="0" style="47" hidden="1" customWidth="1"/>
    <col min="7179" max="7424" width="9.140625" style="47"/>
    <col min="7425" max="7425" width="5.85546875" style="47" customWidth="1"/>
    <col min="7426" max="7426" width="57.28515625" style="47" customWidth="1"/>
    <col min="7427" max="7430" width="20.140625" style="47" customWidth="1"/>
    <col min="7431" max="7431" width="13" style="47" customWidth="1"/>
    <col min="7432" max="7432" width="11.5703125" style="47" customWidth="1"/>
    <col min="7433" max="7434" width="0" style="47" hidden="1" customWidth="1"/>
    <col min="7435" max="7680" width="9.140625" style="47"/>
    <col min="7681" max="7681" width="5.85546875" style="47" customWidth="1"/>
    <col min="7682" max="7682" width="57.28515625" style="47" customWidth="1"/>
    <col min="7683" max="7686" width="20.140625" style="47" customWidth="1"/>
    <col min="7687" max="7687" width="13" style="47" customWidth="1"/>
    <col min="7688" max="7688" width="11.5703125" style="47" customWidth="1"/>
    <col min="7689" max="7690" width="0" style="47" hidden="1" customWidth="1"/>
    <col min="7691" max="7936" width="9.140625" style="47"/>
    <col min="7937" max="7937" width="5.85546875" style="47" customWidth="1"/>
    <col min="7938" max="7938" width="57.28515625" style="47" customWidth="1"/>
    <col min="7939" max="7942" width="20.140625" style="47" customWidth="1"/>
    <col min="7943" max="7943" width="13" style="47" customWidth="1"/>
    <col min="7944" max="7944" width="11.5703125" style="47" customWidth="1"/>
    <col min="7945" max="7946" width="0" style="47" hidden="1" customWidth="1"/>
    <col min="7947" max="8192" width="9.140625" style="47"/>
    <col min="8193" max="8193" width="5.85546875" style="47" customWidth="1"/>
    <col min="8194" max="8194" width="57.28515625" style="47" customWidth="1"/>
    <col min="8195" max="8198" width="20.140625" style="47" customWidth="1"/>
    <col min="8199" max="8199" width="13" style="47" customWidth="1"/>
    <col min="8200" max="8200" width="11.5703125" style="47" customWidth="1"/>
    <col min="8201" max="8202" width="0" style="47" hidden="1" customWidth="1"/>
    <col min="8203" max="8448" width="9.140625" style="47"/>
    <col min="8449" max="8449" width="5.85546875" style="47" customWidth="1"/>
    <col min="8450" max="8450" width="57.28515625" style="47" customWidth="1"/>
    <col min="8451" max="8454" width="20.140625" style="47" customWidth="1"/>
    <col min="8455" max="8455" width="13" style="47" customWidth="1"/>
    <col min="8456" max="8456" width="11.5703125" style="47" customWidth="1"/>
    <col min="8457" max="8458" width="0" style="47" hidden="1" customWidth="1"/>
    <col min="8459" max="8704" width="9.140625" style="47"/>
    <col min="8705" max="8705" width="5.85546875" style="47" customWidth="1"/>
    <col min="8706" max="8706" width="57.28515625" style="47" customWidth="1"/>
    <col min="8707" max="8710" width="20.140625" style="47" customWidth="1"/>
    <col min="8711" max="8711" width="13" style="47" customWidth="1"/>
    <col min="8712" max="8712" width="11.5703125" style="47" customWidth="1"/>
    <col min="8713" max="8714" width="0" style="47" hidden="1" customWidth="1"/>
    <col min="8715" max="8960" width="9.140625" style="47"/>
    <col min="8961" max="8961" width="5.85546875" style="47" customWidth="1"/>
    <col min="8962" max="8962" width="57.28515625" style="47" customWidth="1"/>
    <col min="8963" max="8966" width="20.140625" style="47" customWidth="1"/>
    <col min="8967" max="8967" width="13" style="47" customWidth="1"/>
    <col min="8968" max="8968" width="11.5703125" style="47" customWidth="1"/>
    <col min="8969" max="8970" width="0" style="47" hidden="1" customWidth="1"/>
    <col min="8971" max="9216" width="9.140625" style="47"/>
    <col min="9217" max="9217" width="5.85546875" style="47" customWidth="1"/>
    <col min="9218" max="9218" width="57.28515625" style="47" customWidth="1"/>
    <col min="9219" max="9222" width="20.140625" style="47" customWidth="1"/>
    <col min="9223" max="9223" width="13" style="47" customWidth="1"/>
    <col min="9224" max="9224" width="11.5703125" style="47" customWidth="1"/>
    <col min="9225" max="9226" width="0" style="47" hidden="1" customWidth="1"/>
    <col min="9227" max="9472" width="9.140625" style="47"/>
    <col min="9473" max="9473" width="5.85546875" style="47" customWidth="1"/>
    <col min="9474" max="9474" width="57.28515625" style="47" customWidth="1"/>
    <col min="9475" max="9478" width="20.140625" style="47" customWidth="1"/>
    <col min="9479" max="9479" width="13" style="47" customWidth="1"/>
    <col min="9480" max="9480" width="11.5703125" style="47" customWidth="1"/>
    <col min="9481" max="9482" width="0" style="47" hidden="1" customWidth="1"/>
    <col min="9483" max="9728" width="9.140625" style="47"/>
    <col min="9729" max="9729" width="5.85546875" style="47" customWidth="1"/>
    <col min="9730" max="9730" width="57.28515625" style="47" customWidth="1"/>
    <col min="9731" max="9734" width="20.140625" style="47" customWidth="1"/>
    <col min="9735" max="9735" width="13" style="47" customWidth="1"/>
    <col min="9736" max="9736" width="11.5703125" style="47" customWidth="1"/>
    <col min="9737" max="9738" width="0" style="47" hidden="1" customWidth="1"/>
    <col min="9739" max="9984" width="9.140625" style="47"/>
    <col min="9985" max="9985" width="5.85546875" style="47" customWidth="1"/>
    <col min="9986" max="9986" width="57.28515625" style="47" customWidth="1"/>
    <col min="9987" max="9990" width="20.140625" style="47" customWidth="1"/>
    <col min="9991" max="9991" width="13" style="47" customWidth="1"/>
    <col min="9992" max="9992" width="11.5703125" style="47" customWidth="1"/>
    <col min="9993" max="9994" width="0" style="47" hidden="1" customWidth="1"/>
    <col min="9995" max="10240" width="9.140625" style="47"/>
    <col min="10241" max="10241" width="5.85546875" style="47" customWidth="1"/>
    <col min="10242" max="10242" width="57.28515625" style="47" customWidth="1"/>
    <col min="10243" max="10246" width="20.140625" style="47" customWidth="1"/>
    <col min="10247" max="10247" width="13" style="47" customWidth="1"/>
    <col min="10248" max="10248" width="11.5703125" style="47" customWidth="1"/>
    <col min="10249" max="10250" width="0" style="47" hidden="1" customWidth="1"/>
    <col min="10251" max="10496" width="9.140625" style="47"/>
    <col min="10497" max="10497" width="5.85546875" style="47" customWidth="1"/>
    <col min="10498" max="10498" width="57.28515625" style="47" customWidth="1"/>
    <col min="10499" max="10502" width="20.140625" style="47" customWidth="1"/>
    <col min="10503" max="10503" width="13" style="47" customWidth="1"/>
    <col min="10504" max="10504" width="11.5703125" style="47" customWidth="1"/>
    <col min="10505" max="10506" width="0" style="47" hidden="1" customWidth="1"/>
    <col min="10507" max="10752" width="9.140625" style="47"/>
    <col min="10753" max="10753" width="5.85546875" style="47" customWidth="1"/>
    <col min="10754" max="10754" width="57.28515625" style="47" customWidth="1"/>
    <col min="10755" max="10758" width="20.140625" style="47" customWidth="1"/>
    <col min="10759" max="10759" width="13" style="47" customWidth="1"/>
    <col min="10760" max="10760" width="11.5703125" style="47" customWidth="1"/>
    <col min="10761" max="10762" width="0" style="47" hidden="1" customWidth="1"/>
    <col min="10763" max="11008" width="9.140625" style="47"/>
    <col min="11009" max="11009" width="5.85546875" style="47" customWidth="1"/>
    <col min="11010" max="11010" width="57.28515625" style="47" customWidth="1"/>
    <col min="11011" max="11014" width="20.140625" style="47" customWidth="1"/>
    <col min="11015" max="11015" width="13" style="47" customWidth="1"/>
    <col min="11016" max="11016" width="11.5703125" style="47" customWidth="1"/>
    <col min="11017" max="11018" width="0" style="47" hidden="1" customWidth="1"/>
    <col min="11019" max="11264" width="9.140625" style="47"/>
    <col min="11265" max="11265" width="5.85546875" style="47" customWidth="1"/>
    <col min="11266" max="11266" width="57.28515625" style="47" customWidth="1"/>
    <col min="11267" max="11270" width="20.140625" style="47" customWidth="1"/>
    <col min="11271" max="11271" width="13" style="47" customWidth="1"/>
    <col min="11272" max="11272" width="11.5703125" style="47" customWidth="1"/>
    <col min="11273" max="11274" width="0" style="47" hidden="1" customWidth="1"/>
    <col min="11275" max="11520" width="9.140625" style="47"/>
    <col min="11521" max="11521" width="5.85546875" style="47" customWidth="1"/>
    <col min="11522" max="11522" width="57.28515625" style="47" customWidth="1"/>
    <col min="11523" max="11526" width="20.140625" style="47" customWidth="1"/>
    <col min="11527" max="11527" width="13" style="47" customWidth="1"/>
    <col min="11528" max="11528" width="11.5703125" style="47" customWidth="1"/>
    <col min="11529" max="11530" width="0" style="47" hidden="1" customWidth="1"/>
    <col min="11531" max="11776" width="9.140625" style="47"/>
    <col min="11777" max="11777" width="5.85546875" style="47" customWidth="1"/>
    <col min="11778" max="11778" width="57.28515625" style="47" customWidth="1"/>
    <col min="11779" max="11782" width="20.140625" style="47" customWidth="1"/>
    <col min="11783" max="11783" width="13" style="47" customWidth="1"/>
    <col min="11784" max="11784" width="11.5703125" style="47" customWidth="1"/>
    <col min="11785" max="11786" width="0" style="47" hidden="1" customWidth="1"/>
    <col min="11787" max="12032" width="9.140625" style="47"/>
    <col min="12033" max="12033" width="5.85546875" style="47" customWidth="1"/>
    <col min="12034" max="12034" width="57.28515625" style="47" customWidth="1"/>
    <col min="12035" max="12038" width="20.140625" style="47" customWidth="1"/>
    <col min="12039" max="12039" width="13" style="47" customWidth="1"/>
    <col min="12040" max="12040" width="11.5703125" style="47" customWidth="1"/>
    <col min="12041" max="12042" width="0" style="47" hidden="1" customWidth="1"/>
    <col min="12043" max="12288" width="9.140625" style="47"/>
    <col min="12289" max="12289" width="5.85546875" style="47" customWidth="1"/>
    <col min="12290" max="12290" width="57.28515625" style="47" customWidth="1"/>
    <col min="12291" max="12294" width="20.140625" style="47" customWidth="1"/>
    <col min="12295" max="12295" width="13" style="47" customWidth="1"/>
    <col min="12296" max="12296" width="11.5703125" style="47" customWidth="1"/>
    <col min="12297" max="12298" width="0" style="47" hidden="1" customWidth="1"/>
    <col min="12299" max="12544" width="9.140625" style="47"/>
    <col min="12545" max="12545" width="5.85546875" style="47" customWidth="1"/>
    <col min="12546" max="12546" width="57.28515625" style="47" customWidth="1"/>
    <col min="12547" max="12550" width="20.140625" style="47" customWidth="1"/>
    <col min="12551" max="12551" width="13" style="47" customWidth="1"/>
    <col min="12552" max="12552" width="11.5703125" style="47" customWidth="1"/>
    <col min="12553" max="12554" width="0" style="47" hidden="1" customWidth="1"/>
    <col min="12555" max="12800" width="9.140625" style="47"/>
    <col min="12801" max="12801" width="5.85546875" style="47" customWidth="1"/>
    <col min="12802" max="12802" width="57.28515625" style="47" customWidth="1"/>
    <col min="12803" max="12806" width="20.140625" style="47" customWidth="1"/>
    <col min="12807" max="12807" width="13" style="47" customWidth="1"/>
    <col min="12808" max="12808" width="11.5703125" style="47" customWidth="1"/>
    <col min="12809" max="12810" width="0" style="47" hidden="1" customWidth="1"/>
    <col min="12811" max="13056" width="9.140625" style="47"/>
    <col min="13057" max="13057" width="5.85546875" style="47" customWidth="1"/>
    <col min="13058" max="13058" width="57.28515625" style="47" customWidth="1"/>
    <col min="13059" max="13062" width="20.140625" style="47" customWidth="1"/>
    <col min="13063" max="13063" width="13" style="47" customWidth="1"/>
    <col min="13064" max="13064" width="11.5703125" style="47" customWidth="1"/>
    <col min="13065" max="13066" width="0" style="47" hidden="1" customWidth="1"/>
    <col min="13067" max="13312" width="9.140625" style="47"/>
    <col min="13313" max="13313" width="5.85546875" style="47" customWidth="1"/>
    <col min="13314" max="13314" width="57.28515625" style="47" customWidth="1"/>
    <col min="13315" max="13318" width="20.140625" style="47" customWidth="1"/>
    <col min="13319" max="13319" width="13" style="47" customWidth="1"/>
    <col min="13320" max="13320" width="11.5703125" style="47" customWidth="1"/>
    <col min="13321" max="13322" width="0" style="47" hidden="1" customWidth="1"/>
    <col min="13323" max="13568" width="9.140625" style="47"/>
    <col min="13569" max="13569" width="5.85546875" style="47" customWidth="1"/>
    <col min="13570" max="13570" width="57.28515625" style="47" customWidth="1"/>
    <col min="13571" max="13574" width="20.140625" style="47" customWidth="1"/>
    <col min="13575" max="13575" width="13" style="47" customWidth="1"/>
    <col min="13576" max="13576" width="11.5703125" style="47" customWidth="1"/>
    <col min="13577" max="13578" width="0" style="47" hidden="1" customWidth="1"/>
    <col min="13579" max="13824" width="9.140625" style="47"/>
    <col min="13825" max="13825" width="5.85546875" style="47" customWidth="1"/>
    <col min="13826" max="13826" width="57.28515625" style="47" customWidth="1"/>
    <col min="13827" max="13830" width="20.140625" style="47" customWidth="1"/>
    <col min="13831" max="13831" width="13" style="47" customWidth="1"/>
    <col min="13832" max="13832" width="11.5703125" style="47" customWidth="1"/>
    <col min="13833" max="13834" width="0" style="47" hidden="1" customWidth="1"/>
    <col min="13835" max="14080" width="9.140625" style="47"/>
    <col min="14081" max="14081" width="5.85546875" style="47" customWidth="1"/>
    <col min="14082" max="14082" width="57.28515625" style="47" customWidth="1"/>
    <col min="14083" max="14086" width="20.140625" style="47" customWidth="1"/>
    <col min="14087" max="14087" width="13" style="47" customWidth="1"/>
    <col min="14088" max="14088" width="11.5703125" style="47" customWidth="1"/>
    <col min="14089" max="14090" width="0" style="47" hidden="1" customWidth="1"/>
    <col min="14091" max="14336" width="9.140625" style="47"/>
    <col min="14337" max="14337" width="5.85546875" style="47" customWidth="1"/>
    <col min="14338" max="14338" width="57.28515625" style="47" customWidth="1"/>
    <col min="14339" max="14342" width="20.140625" style="47" customWidth="1"/>
    <col min="14343" max="14343" width="13" style="47" customWidth="1"/>
    <col min="14344" max="14344" width="11.5703125" style="47" customWidth="1"/>
    <col min="14345" max="14346" width="0" style="47" hidden="1" customWidth="1"/>
    <col min="14347" max="14592" width="9.140625" style="47"/>
    <col min="14593" max="14593" width="5.85546875" style="47" customWidth="1"/>
    <col min="14594" max="14594" width="57.28515625" style="47" customWidth="1"/>
    <col min="14595" max="14598" width="20.140625" style="47" customWidth="1"/>
    <col min="14599" max="14599" width="13" style="47" customWidth="1"/>
    <col min="14600" max="14600" width="11.5703125" style="47" customWidth="1"/>
    <col min="14601" max="14602" width="0" style="47" hidden="1" customWidth="1"/>
    <col min="14603" max="14848" width="9.140625" style="47"/>
    <col min="14849" max="14849" width="5.85546875" style="47" customWidth="1"/>
    <col min="14850" max="14850" width="57.28515625" style="47" customWidth="1"/>
    <col min="14851" max="14854" width="20.140625" style="47" customWidth="1"/>
    <col min="14855" max="14855" width="13" style="47" customWidth="1"/>
    <col min="14856" max="14856" width="11.5703125" style="47" customWidth="1"/>
    <col min="14857" max="14858" width="0" style="47" hidden="1" customWidth="1"/>
    <col min="14859" max="15104" width="9.140625" style="47"/>
    <col min="15105" max="15105" width="5.85546875" style="47" customWidth="1"/>
    <col min="15106" max="15106" width="57.28515625" style="47" customWidth="1"/>
    <col min="15107" max="15110" width="20.140625" style="47" customWidth="1"/>
    <col min="15111" max="15111" width="13" style="47" customWidth="1"/>
    <col min="15112" max="15112" width="11.5703125" style="47" customWidth="1"/>
    <col min="15113" max="15114" width="0" style="47" hidden="1" customWidth="1"/>
    <col min="15115" max="15360" width="9.140625" style="47"/>
    <col min="15361" max="15361" width="5.85546875" style="47" customWidth="1"/>
    <col min="15362" max="15362" width="57.28515625" style="47" customWidth="1"/>
    <col min="15363" max="15366" width="20.140625" style="47" customWidth="1"/>
    <col min="15367" max="15367" width="13" style="47" customWidth="1"/>
    <col min="15368" max="15368" width="11.5703125" style="47" customWidth="1"/>
    <col min="15369" max="15370" width="0" style="47" hidden="1" customWidth="1"/>
    <col min="15371" max="15616" width="9.140625" style="47"/>
    <col min="15617" max="15617" width="5.85546875" style="47" customWidth="1"/>
    <col min="15618" max="15618" width="57.28515625" style="47" customWidth="1"/>
    <col min="15619" max="15622" width="20.140625" style="47" customWidth="1"/>
    <col min="15623" max="15623" width="13" style="47" customWidth="1"/>
    <col min="15624" max="15624" width="11.5703125" style="47" customWidth="1"/>
    <col min="15625" max="15626" width="0" style="47" hidden="1" customWidth="1"/>
    <col min="15627" max="15872" width="9.140625" style="47"/>
    <col min="15873" max="15873" width="5.85546875" style="47" customWidth="1"/>
    <col min="15874" max="15874" width="57.28515625" style="47" customWidth="1"/>
    <col min="15875" max="15878" width="20.140625" style="47" customWidth="1"/>
    <col min="15879" max="15879" width="13" style="47" customWidth="1"/>
    <col min="15880" max="15880" width="11.5703125" style="47" customWidth="1"/>
    <col min="15881" max="15882" width="0" style="47" hidden="1" customWidth="1"/>
    <col min="15883" max="16128" width="9.140625" style="47"/>
    <col min="16129" max="16129" width="5.85546875" style="47" customWidth="1"/>
    <col min="16130" max="16130" width="57.28515625" style="47" customWidth="1"/>
    <col min="16131" max="16134" width="20.140625" style="47" customWidth="1"/>
    <col min="16135" max="16135" width="13" style="47" customWidth="1"/>
    <col min="16136" max="16136" width="11.5703125" style="47" customWidth="1"/>
    <col min="16137" max="16138" width="0" style="47" hidden="1" customWidth="1"/>
    <col min="16139" max="16384" width="9.140625" style="47"/>
  </cols>
  <sheetData>
    <row r="1" spans="1:12" ht="21" customHeight="1">
      <c r="A1" s="216" t="s">
        <v>207</v>
      </c>
      <c r="B1" s="44"/>
      <c r="C1" s="45"/>
      <c r="D1" s="45"/>
      <c r="E1" s="45"/>
      <c r="F1" s="45"/>
      <c r="G1" s="46"/>
    </row>
    <row r="2" spans="1:12" ht="10.5" customHeight="1">
      <c r="A2" s="43"/>
      <c r="B2" s="43"/>
      <c r="C2" s="45"/>
      <c r="D2" s="45"/>
      <c r="E2" s="45"/>
      <c r="F2" s="45"/>
      <c r="G2" s="45"/>
      <c r="H2" s="45"/>
    </row>
    <row r="3" spans="1:12" ht="28.5" customHeight="1">
      <c r="A3" s="362" t="s">
        <v>452</v>
      </c>
      <c r="B3" s="362"/>
      <c r="C3" s="362"/>
      <c r="D3" s="362"/>
      <c r="E3" s="362"/>
      <c r="F3" s="362"/>
      <c r="G3" s="362"/>
      <c r="H3" s="362"/>
    </row>
    <row r="4" spans="1:12" ht="16.5" customHeight="1">
      <c r="A4" s="363" t="s">
        <v>548</v>
      </c>
      <c r="B4" s="363"/>
      <c r="C4" s="363"/>
      <c r="D4" s="363"/>
      <c r="E4" s="363"/>
      <c r="F4" s="363"/>
      <c r="G4" s="363"/>
      <c r="H4" s="363"/>
    </row>
    <row r="5" spans="1:12" ht="6.75" customHeight="1">
      <c r="A5" s="48"/>
      <c r="B5" s="48"/>
      <c r="C5" s="45"/>
      <c r="D5" s="45"/>
      <c r="E5" s="45"/>
      <c r="F5" s="45"/>
      <c r="G5" s="367" t="s">
        <v>1</v>
      </c>
      <c r="H5" s="367"/>
    </row>
    <row r="6" spans="1:12" ht="19.5" customHeight="1" thickBot="1">
      <c r="A6" s="49"/>
      <c r="B6" s="49"/>
      <c r="C6" s="50"/>
      <c r="D6" s="50"/>
      <c r="E6" s="50"/>
      <c r="F6" s="50"/>
      <c r="G6" s="368"/>
      <c r="H6" s="368"/>
    </row>
    <row r="7" spans="1:12" s="54" customFormat="1" ht="22.5" customHeight="1">
      <c r="A7" s="364" t="s">
        <v>166</v>
      </c>
      <c r="B7" s="365" t="s">
        <v>44</v>
      </c>
      <c r="C7" s="366" t="s">
        <v>4</v>
      </c>
      <c r="D7" s="366"/>
      <c r="E7" s="366" t="s">
        <v>5</v>
      </c>
      <c r="F7" s="366"/>
      <c r="G7" s="366" t="s">
        <v>6</v>
      </c>
      <c r="H7" s="366"/>
      <c r="I7" s="52"/>
      <c r="J7" s="53"/>
      <c r="L7" s="55" t="s">
        <v>4</v>
      </c>
    </row>
    <row r="8" spans="1:12" s="54" customFormat="1" ht="44.25" customHeight="1">
      <c r="A8" s="364"/>
      <c r="B8" s="365"/>
      <c r="C8" s="202" t="s">
        <v>208</v>
      </c>
      <c r="D8" s="202" t="s">
        <v>551</v>
      </c>
      <c r="E8" s="202" t="s">
        <v>208</v>
      </c>
      <c r="F8" s="202" t="s">
        <v>551</v>
      </c>
      <c r="G8" s="202" t="s">
        <v>208</v>
      </c>
      <c r="H8" s="202" t="s">
        <v>551</v>
      </c>
      <c r="I8" s="56" t="s">
        <v>209</v>
      </c>
      <c r="J8" s="57" t="s">
        <v>209</v>
      </c>
    </row>
    <row r="9" spans="1:12" s="62" customFormat="1" ht="17.25" customHeight="1">
      <c r="A9" s="58" t="s">
        <v>7</v>
      </c>
      <c r="B9" s="58" t="s">
        <v>24</v>
      </c>
      <c r="C9" s="58">
        <v>1</v>
      </c>
      <c r="D9" s="58">
        <f>C9+1</f>
        <v>2</v>
      </c>
      <c r="E9" s="58">
        <f>D9+1</f>
        <v>3</v>
      </c>
      <c r="F9" s="58">
        <f>E9+1</f>
        <v>4</v>
      </c>
      <c r="G9" s="59" t="s">
        <v>210</v>
      </c>
      <c r="H9" s="59" t="s">
        <v>211</v>
      </c>
      <c r="I9" s="60"/>
      <c r="J9" s="61"/>
    </row>
    <row r="10" spans="1:12" s="50" customFormat="1" ht="24" customHeight="1">
      <c r="A10" s="13"/>
      <c r="B10" s="63" t="s">
        <v>212</v>
      </c>
      <c r="C10" s="64">
        <f>C11+C64+C65+C66</f>
        <v>32310000000</v>
      </c>
      <c r="D10" s="64">
        <f>D11+D64+D65+D66</f>
        <v>26956000000</v>
      </c>
      <c r="E10" s="64">
        <f>E11+E64+E65+E66</f>
        <v>139811110374</v>
      </c>
      <c r="F10" s="64">
        <f>F11+F64+F65+F66</f>
        <v>130677299244</v>
      </c>
      <c r="G10" s="178">
        <f t="shared" ref="G10:H14" si="0">E10/C10</f>
        <v>4.327177665552461</v>
      </c>
      <c r="H10" s="178">
        <f t="shared" si="0"/>
        <v>4.8478000906662713</v>
      </c>
      <c r="I10" s="65" t="e">
        <f>SUM(I12,#REF!,#REF!,#REF!,#REF!,#REF!)</f>
        <v>#REF!</v>
      </c>
      <c r="J10" s="66" t="e">
        <f>SUM(J12,#REF!,#REF!,#REF!,#REF!,#REF!)</f>
        <v>#REF!</v>
      </c>
    </row>
    <row r="11" spans="1:12" s="50" customFormat="1" ht="18.75">
      <c r="A11" s="17" t="s">
        <v>7</v>
      </c>
      <c r="B11" s="18" t="s">
        <v>213</v>
      </c>
      <c r="C11" s="67">
        <f>C12+C55+C56+C63</f>
        <v>32310000000</v>
      </c>
      <c r="D11" s="67">
        <f>D12+D55+D56+D63</f>
        <v>26956000000</v>
      </c>
      <c r="E11" s="67">
        <f>E12+E55+E56+E63</f>
        <v>56665804938</v>
      </c>
      <c r="F11" s="67">
        <f>F12+F55+F56+F63</f>
        <v>47531993808</v>
      </c>
      <c r="G11" s="87">
        <f t="shared" si="0"/>
        <v>1.7538163088207985</v>
      </c>
      <c r="H11" s="87">
        <f t="shared" si="0"/>
        <v>1.7633177699955482</v>
      </c>
      <c r="I11" s="65" t="e">
        <f>SUM(I13,#REF!,#REF!,#REF!,#REF!,#REF!)</f>
        <v>#REF!</v>
      </c>
      <c r="J11" s="66" t="e">
        <f>SUM(J13,#REF!,#REF!,#REF!,#REF!,#REF!)</f>
        <v>#REF!</v>
      </c>
    </row>
    <row r="12" spans="1:12" s="50" customFormat="1" ht="18.75">
      <c r="A12" s="17" t="s">
        <v>9</v>
      </c>
      <c r="B12" s="18" t="s">
        <v>214</v>
      </c>
      <c r="C12" s="67">
        <f>C13+C16+C22+C25+C32+C33+C34+C39+C40+C41+C42+C44+C43+C45+C46</f>
        <v>32310000000</v>
      </c>
      <c r="D12" s="67">
        <f t="shared" ref="D12:F12" si="1">D13+D16+D22+D25+D32+D33+D34+D39+D40+D41+D42+D44+D43+D45+D46</f>
        <v>26956000000</v>
      </c>
      <c r="E12" s="67">
        <f t="shared" si="1"/>
        <v>56665804938</v>
      </c>
      <c r="F12" s="67">
        <f t="shared" si="1"/>
        <v>47531993808</v>
      </c>
      <c r="G12" s="87">
        <f t="shared" si="0"/>
        <v>1.7538163088207985</v>
      </c>
      <c r="H12" s="87">
        <f t="shared" si="0"/>
        <v>1.7633177699955482</v>
      </c>
      <c r="I12" s="68" t="e">
        <f>SUM(I13,#REF!,#REF!,#REF!,#REF!,#REF!,#REF!,#REF!,#REF!,#REF!,#REF!,#REF!,#REF!,#REF!,#REF!,#REF!)</f>
        <v>#REF!</v>
      </c>
      <c r="J12" s="69" t="e">
        <f>SUM(J13,#REF!,#REF!,#REF!,#REF!,#REF!,#REF!,#REF!,#REF!,#REF!,#REF!,#REF!,#REF!,#REF!,#REF!,#REF!)</f>
        <v>#REF!</v>
      </c>
    </row>
    <row r="13" spans="1:12" s="175" customFormat="1" ht="18.75">
      <c r="A13" s="17">
        <v>1</v>
      </c>
      <c r="B13" s="18" t="s">
        <v>215</v>
      </c>
      <c r="C13" s="67">
        <f>SUM(C14:C15)</f>
        <v>250000000</v>
      </c>
      <c r="D13" s="67">
        <f>SUM(D14:D15)</f>
        <v>25000000</v>
      </c>
      <c r="E13" s="67">
        <f>SUM(E14:E15)</f>
        <v>354591205</v>
      </c>
      <c r="F13" s="67">
        <f>SUM(F14:F15)</f>
        <v>35459126</v>
      </c>
      <c r="G13" s="87">
        <f t="shared" si="0"/>
        <v>1.4183648200000001</v>
      </c>
      <c r="H13" s="87">
        <f t="shared" si="0"/>
        <v>1.4183650400000001</v>
      </c>
      <c r="I13" s="68" t="e">
        <f>SUM(I14,I22,I33,I34,I35,I36,I40,I41,#REF!)</f>
        <v>#REF!</v>
      </c>
      <c r="J13" s="69" t="e">
        <f>SUM(J14,J22,J33,J34,J35,J36,J40,J41,#REF!)</f>
        <v>#REF!</v>
      </c>
    </row>
    <row r="14" spans="1:12" s="50" customFormat="1" ht="18.75">
      <c r="A14" s="19" t="s">
        <v>13</v>
      </c>
      <c r="B14" s="217" t="s">
        <v>216</v>
      </c>
      <c r="C14" s="70">
        <v>250000000</v>
      </c>
      <c r="D14" s="70">
        <v>25000000</v>
      </c>
      <c r="E14" s="70">
        <v>353527705</v>
      </c>
      <c r="F14" s="70">
        <v>35352776</v>
      </c>
      <c r="G14" s="89">
        <f t="shared" si="0"/>
        <v>1.4141108200000001</v>
      </c>
      <c r="H14" s="89">
        <f t="shared" si="0"/>
        <v>1.4141110400000001</v>
      </c>
      <c r="I14" s="75" t="e">
        <f>#REF!-#REF!</f>
        <v>#REF!</v>
      </c>
      <c r="J14" s="76" t="e">
        <f>#REF!-#REF!</f>
        <v>#REF!</v>
      </c>
    </row>
    <row r="15" spans="1:12" s="50" customFormat="1" ht="18.75">
      <c r="A15" s="19" t="s">
        <v>13</v>
      </c>
      <c r="B15" s="217" t="s">
        <v>217</v>
      </c>
      <c r="C15" s="70"/>
      <c r="D15" s="70"/>
      <c r="E15" s="70">
        <v>1063500</v>
      </c>
      <c r="F15" s="70">
        <v>106350</v>
      </c>
      <c r="G15" s="89"/>
      <c r="H15" s="89"/>
      <c r="I15" s="75"/>
      <c r="J15" s="76"/>
    </row>
    <row r="16" spans="1:12" s="175" customFormat="1" ht="18.75">
      <c r="A16" s="172" t="s">
        <v>19</v>
      </c>
      <c r="B16" s="18" t="s">
        <v>218</v>
      </c>
      <c r="C16" s="67">
        <f>SUM(C17:C19)</f>
        <v>1420000000</v>
      </c>
      <c r="D16" s="67">
        <f>SUM(D17:D19)</f>
        <v>133000000</v>
      </c>
      <c r="E16" s="67">
        <f>SUM(E17:E19)</f>
        <v>1824550625</v>
      </c>
      <c r="F16" s="67">
        <f>SUM(F17:F19)</f>
        <v>157127057</v>
      </c>
      <c r="G16" s="87">
        <f t="shared" ref="G16:H19" si="2">E16/C16</f>
        <v>1.2848948063380281</v>
      </c>
      <c r="H16" s="87">
        <f t="shared" si="2"/>
        <v>1.1814064436090226</v>
      </c>
      <c r="I16" s="173" t="e">
        <f>#REF!-#REF!</f>
        <v>#REF!</v>
      </c>
      <c r="J16" s="174" t="e">
        <f>#REF!-#REF!</f>
        <v>#REF!</v>
      </c>
    </row>
    <row r="17" spans="1:10" s="50" customFormat="1" ht="18.75">
      <c r="A17" s="19" t="s">
        <v>13</v>
      </c>
      <c r="B17" s="217" t="s">
        <v>216</v>
      </c>
      <c r="C17" s="70">
        <v>80000000</v>
      </c>
      <c r="D17" s="70">
        <v>8000000</v>
      </c>
      <c r="E17" s="70">
        <v>32040588</v>
      </c>
      <c r="F17" s="70">
        <v>3204061</v>
      </c>
      <c r="G17" s="89">
        <f t="shared" si="2"/>
        <v>0.40050734999999998</v>
      </c>
      <c r="H17" s="89">
        <f t="shared" si="2"/>
        <v>0.40050762499999998</v>
      </c>
      <c r="I17" s="75" t="e">
        <f>#REF!-#REF!</f>
        <v>#REF!</v>
      </c>
      <c r="J17" s="76" t="e">
        <f>#REF!-#REF!</f>
        <v>#REF!</v>
      </c>
    </row>
    <row r="18" spans="1:10" s="50" customFormat="1" ht="18.75">
      <c r="A18" s="19" t="s">
        <v>13</v>
      </c>
      <c r="B18" s="217" t="s">
        <v>217</v>
      </c>
      <c r="C18" s="70">
        <v>1250000000</v>
      </c>
      <c r="D18" s="70">
        <v>125000000</v>
      </c>
      <c r="E18" s="70">
        <v>1534867635</v>
      </c>
      <c r="F18" s="70">
        <v>153486769</v>
      </c>
      <c r="G18" s="89">
        <f t="shared" si="2"/>
        <v>1.2278941080000001</v>
      </c>
      <c r="H18" s="89">
        <f t="shared" si="2"/>
        <v>1.227894152</v>
      </c>
      <c r="I18" s="75"/>
      <c r="J18" s="76"/>
    </row>
    <row r="19" spans="1:10" s="50" customFormat="1" ht="18.75">
      <c r="A19" s="19" t="s">
        <v>13</v>
      </c>
      <c r="B19" s="217" t="s">
        <v>219</v>
      </c>
      <c r="C19" s="70">
        <f>SUM(C20:C21)</f>
        <v>90000000</v>
      </c>
      <c r="D19" s="70">
        <f t="shared" ref="D19:F19" si="3">SUM(D20:D21)</f>
        <v>0</v>
      </c>
      <c r="E19" s="70">
        <f t="shared" si="3"/>
        <v>257642402</v>
      </c>
      <c r="F19" s="70">
        <f t="shared" si="3"/>
        <v>436227</v>
      </c>
      <c r="G19" s="89">
        <f t="shared" si="2"/>
        <v>2.8626933555555554</v>
      </c>
      <c r="H19" s="89"/>
      <c r="I19" s="75"/>
      <c r="J19" s="76"/>
    </row>
    <row r="20" spans="1:10" s="51" customFormat="1" ht="18.75">
      <c r="A20" s="71"/>
      <c r="B20" s="218" t="s">
        <v>455</v>
      </c>
      <c r="C20" s="72">
        <v>90000000</v>
      </c>
      <c r="D20" s="72"/>
      <c r="E20" s="72">
        <v>254329100</v>
      </c>
      <c r="F20" s="72"/>
      <c r="G20" s="88"/>
      <c r="H20" s="88"/>
      <c r="I20" s="73"/>
      <c r="J20" s="74"/>
    </row>
    <row r="21" spans="1:10" s="51" customFormat="1" ht="18.75">
      <c r="A21" s="71"/>
      <c r="B21" s="218" t="s">
        <v>454</v>
      </c>
      <c r="C21" s="72"/>
      <c r="D21" s="72"/>
      <c r="E21" s="72">
        <f>257642402-E20</f>
        <v>3313302</v>
      </c>
      <c r="F21" s="72">
        <v>436227</v>
      </c>
      <c r="G21" s="88"/>
      <c r="H21" s="88"/>
      <c r="I21" s="73"/>
      <c r="J21" s="74"/>
    </row>
    <row r="22" spans="1:10" s="175" customFormat="1" ht="37.5">
      <c r="A22" s="172" t="s">
        <v>28</v>
      </c>
      <c r="B22" s="18" t="s">
        <v>220</v>
      </c>
      <c r="C22" s="67">
        <f>SUM(C23:C24)</f>
        <v>0</v>
      </c>
      <c r="D22" s="67">
        <f>SUM(D23:D24)</f>
        <v>0</v>
      </c>
      <c r="E22" s="67">
        <f>SUM(E23:E24)</f>
        <v>366676810</v>
      </c>
      <c r="F22" s="67">
        <f>SUM(F23:F24)</f>
        <v>36667681</v>
      </c>
      <c r="G22" s="87"/>
      <c r="H22" s="87"/>
      <c r="I22" s="173" t="e">
        <f>#REF!-#REF!</f>
        <v>#REF!</v>
      </c>
      <c r="J22" s="174" t="e">
        <f>#REF!-#REF!</f>
        <v>#REF!</v>
      </c>
    </row>
    <row r="23" spans="1:10" s="50" customFormat="1" ht="18.75">
      <c r="A23" s="19" t="s">
        <v>13</v>
      </c>
      <c r="B23" s="217" t="s">
        <v>216</v>
      </c>
      <c r="C23" s="70"/>
      <c r="D23" s="70"/>
      <c r="E23" s="70"/>
      <c r="F23" s="70"/>
      <c r="G23" s="89"/>
      <c r="H23" s="89"/>
      <c r="I23" s="75"/>
      <c r="J23" s="76"/>
    </row>
    <row r="24" spans="1:10" s="50" customFormat="1" ht="18.75">
      <c r="A24" s="19" t="s">
        <v>13</v>
      </c>
      <c r="B24" s="217" t="s">
        <v>217</v>
      </c>
      <c r="C24" s="70"/>
      <c r="D24" s="70"/>
      <c r="E24" s="70">
        <v>366676810</v>
      </c>
      <c r="F24" s="70">
        <v>36667681</v>
      </c>
      <c r="G24" s="89"/>
      <c r="H24" s="89"/>
      <c r="I24" s="75"/>
      <c r="J24" s="76"/>
    </row>
    <row r="25" spans="1:10" s="175" customFormat="1" ht="18.75">
      <c r="A25" s="172" t="s">
        <v>29</v>
      </c>
      <c r="B25" s="18" t="s">
        <v>221</v>
      </c>
      <c r="C25" s="67">
        <f>SUM(C26:C29)</f>
        <v>7000000000</v>
      </c>
      <c r="D25" s="67">
        <f>SUM(D26:D29)</f>
        <v>6180000000</v>
      </c>
      <c r="E25" s="67">
        <f>SUM(E26:E29)</f>
        <v>41369097230</v>
      </c>
      <c r="F25" s="67">
        <f>SUM(F26:F29)</f>
        <v>36920700628</v>
      </c>
      <c r="G25" s="87">
        <f>E25/C25</f>
        <v>5.9098710328571427</v>
      </c>
      <c r="H25" s="87">
        <f>F25/D25</f>
        <v>5.9742234025889971</v>
      </c>
      <c r="I25" s="173" t="e">
        <f>#REF!-#REF!</f>
        <v>#REF!</v>
      </c>
      <c r="J25" s="174" t="e">
        <f>#REF!-#REF!</f>
        <v>#REF!</v>
      </c>
    </row>
    <row r="26" spans="1:10" s="50" customFormat="1" ht="18.75">
      <c r="A26" s="19" t="s">
        <v>13</v>
      </c>
      <c r="B26" s="217" t="s">
        <v>216</v>
      </c>
      <c r="C26" s="70">
        <v>5210000000</v>
      </c>
      <c r="D26" s="70">
        <v>4689000000</v>
      </c>
      <c r="E26" s="70">
        <v>37646386912</v>
      </c>
      <c r="F26" s="70">
        <v>33881748309</v>
      </c>
      <c r="G26" s="89">
        <f>E26/C26</f>
        <v>7.225794033013436</v>
      </c>
      <c r="H26" s="89">
        <f>F26/D26</f>
        <v>7.2257940518234163</v>
      </c>
      <c r="I26" s="75" t="e">
        <f>#REF!-#REF!</f>
        <v>#REF!</v>
      </c>
      <c r="J26" s="76" t="e">
        <f>#REF!-#REF!</f>
        <v>#REF!</v>
      </c>
    </row>
    <row r="27" spans="1:10" s="50" customFormat="1" ht="18.75">
      <c r="A27" s="19" t="s">
        <v>13</v>
      </c>
      <c r="B27" s="217" t="s">
        <v>217</v>
      </c>
      <c r="C27" s="70">
        <v>290000000</v>
      </c>
      <c r="D27" s="70">
        <v>261000000</v>
      </c>
      <c r="E27" s="70">
        <v>379538233</v>
      </c>
      <c r="F27" s="70">
        <v>341584437</v>
      </c>
      <c r="G27" s="89">
        <f t="shared" ref="G27:G29" si="4">E27/C27</f>
        <v>1.3087525275862069</v>
      </c>
      <c r="H27" s="89">
        <f t="shared" ref="H27:H29" si="5">F27/D27</f>
        <v>1.308752632183908</v>
      </c>
      <c r="I27" s="75"/>
      <c r="J27" s="76"/>
    </row>
    <row r="28" spans="1:10" s="50" customFormat="1" ht="18.75">
      <c r="A28" s="19" t="s">
        <v>13</v>
      </c>
      <c r="B28" s="217" t="s">
        <v>222</v>
      </c>
      <c r="C28" s="70">
        <v>50000000</v>
      </c>
      <c r="D28" s="70">
        <v>50000000</v>
      </c>
      <c r="E28" s="70">
        <v>7967820</v>
      </c>
      <c r="F28" s="70">
        <v>7967820</v>
      </c>
      <c r="G28" s="89">
        <f t="shared" si="4"/>
        <v>0.15935640000000001</v>
      </c>
      <c r="H28" s="89">
        <f t="shared" si="5"/>
        <v>0.15935640000000001</v>
      </c>
      <c r="I28" s="75"/>
      <c r="J28" s="76"/>
    </row>
    <row r="29" spans="1:10" s="50" customFormat="1" ht="18.75">
      <c r="A29" s="19" t="s">
        <v>13</v>
      </c>
      <c r="B29" s="217" t="s">
        <v>219</v>
      </c>
      <c r="C29" s="70">
        <f>SUM(C30:C31)</f>
        <v>1450000000</v>
      </c>
      <c r="D29" s="70">
        <f t="shared" ref="D29:F29" si="6">SUM(D30:D31)</f>
        <v>1180000000</v>
      </c>
      <c r="E29" s="70">
        <f t="shared" si="6"/>
        <v>3335204265</v>
      </c>
      <c r="F29" s="70">
        <f t="shared" si="6"/>
        <v>2689400062</v>
      </c>
      <c r="G29" s="89">
        <f t="shared" si="4"/>
        <v>2.3001408724137931</v>
      </c>
      <c r="H29" s="89">
        <f t="shared" si="5"/>
        <v>2.2791525949152542</v>
      </c>
      <c r="I29" s="75"/>
      <c r="J29" s="76"/>
    </row>
    <row r="30" spans="1:10" s="51" customFormat="1" ht="18.75">
      <c r="A30" s="71"/>
      <c r="B30" s="218" t="s">
        <v>453</v>
      </c>
      <c r="C30" s="72">
        <v>900000000</v>
      </c>
      <c r="D30" s="72">
        <v>630000000</v>
      </c>
      <c r="E30" s="72">
        <v>2093623276</v>
      </c>
      <c r="F30" s="72">
        <v>1465536298</v>
      </c>
      <c r="G30" s="88">
        <f t="shared" ref="G30:G31" si="7">E30/C30</f>
        <v>2.3262480844444444</v>
      </c>
      <c r="H30" s="88">
        <f t="shared" ref="H30:H31" si="8">F30/D30</f>
        <v>2.326248092063492</v>
      </c>
      <c r="I30" s="73"/>
      <c r="J30" s="74"/>
    </row>
    <row r="31" spans="1:10" s="51" customFormat="1" ht="18.75">
      <c r="A31" s="71"/>
      <c r="B31" s="218" t="s">
        <v>454</v>
      </c>
      <c r="C31" s="72">
        <v>550000000</v>
      </c>
      <c r="D31" s="72">
        <v>550000000</v>
      </c>
      <c r="E31" s="72">
        <f>3335204265-E30</f>
        <v>1241580989</v>
      </c>
      <c r="F31" s="72">
        <f>2689400062-F30</f>
        <v>1223863764</v>
      </c>
      <c r="G31" s="88">
        <f t="shared" si="7"/>
        <v>2.2574199799999999</v>
      </c>
      <c r="H31" s="88">
        <f t="shared" si="8"/>
        <v>2.2252068436363635</v>
      </c>
      <c r="I31" s="73"/>
      <c r="J31" s="74"/>
    </row>
    <row r="32" spans="1:10" s="175" customFormat="1" ht="18.75">
      <c r="A32" s="172" t="s">
        <v>30</v>
      </c>
      <c r="B32" s="18" t="s">
        <v>223</v>
      </c>
      <c r="C32" s="67">
        <v>1200000000</v>
      </c>
      <c r="D32" s="67">
        <v>1080000000</v>
      </c>
      <c r="E32" s="67">
        <v>1504049894</v>
      </c>
      <c r="F32" s="67">
        <v>1353644993</v>
      </c>
      <c r="G32" s="87">
        <f t="shared" ref="G32:H34" si="9">E32/C32</f>
        <v>1.2533749116666666</v>
      </c>
      <c r="H32" s="87">
        <f t="shared" si="9"/>
        <v>1.2533749935185186</v>
      </c>
      <c r="I32" s="173" t="e">
        <f>#REF!-#REF!</f>
        <v>#REF!</v>
      </c>
      <c r="J32" s="174" t="e">
        <f>#REF!-#REF!</f>
        <v>#REF!</v>
      </c>
    </row>
    <row r="33" spans="1:10" s="175" customFormat="1" ht="18.75">
      <c r="A33" s="172" t="s">
        <v>31</v>
      </c>
      <c r="B33" s="18" t="s">
        <v>224</v>
      </c>
      <c r="C33" s="67">
        <v>1400000000</v>
      </c>
      <c r="D33" s="67">
        <v>1400000000</v>
      </c>
      <c r="E33" s="67">
        <v>3385341990</v>
      </c>
      <c r="F33" s="67">
        <v>3385341990</v>
      </c>
      <c r="G33" s="87">
        <f t="shared" si="9"/>
        <v>2.4181014214285712</v>
      </c>
      <c r="H33" s="87">
        <f t="shared" si="9"/>
        <v>2.4181014214285712</v>
      </c>
      <c r="I33" s="173" t="e">
        <f>#REF!-#REF!</f>
        <v>#REF!</v>
      </c>
      <c r="J33" s="174" t="e">
        <f>#REF!-#REF!</f>
        <v>#REF!</v>
      </c>
    </row>
    <row r="34" spans="1:10" s="175" customFormat="1" ht="18.75">
      <c r="A34" s="172" t="s">
        <v>32</v>
      </c>
      <c r="B34" s="18" t="s">
        <v>225</v>
      </c>
      <c r="C34" s="67">
        <f>SUM(C35:C38)</f>
        <v>1240000000</v>
      </c>
      <c r="D34" s="67">
        <f>SUM(D35:D38)</f>
        <v>1200000000</v>
      </c>
      <c r="E34" s="67">
        <f>SUM(E35:E38)</f>
        <v>980940663</v>
      </c>
      <c r="F34" s="67">
        <f>SUM(F35:F38)</f>
        <v>851955901</v>
      </c>
      <c r="G34" s="87">
        <f t="shared" si="9"/>
        <v>0.79108117983870962</v>
      </c>
      <c r="H34" s="87">
        <f t="shared" si="9"/>
        <v>0.70996325083333334</v>
      </c>
      <c r="I34" s="173" t="e">
        <f>#REF!-#REF!</f>
        <v>#REF!</v>
      </c>
      <c r="J34" s="174" t="e">
        <f>#REF!-#REF!</f>
        <v>#REF!</v>
      </c>
    </row>
    <row r="35" spans="1:10" s="50" customFormat="1" ht="18.75">
      <c r="A35" s="125" t="s">
        <v>13</v>
      </c>
      <c r="B35" s="33" t="s">
        <v>226</v>
      </c>
      <c r="C35" s="78"/>
      <c r="D35" s="78"/>
      <c r="E35" s="78">
        <v>130984762</v>
      </c>
      <c r="F35" s="78">
        <v>2000000</v>
      </c>
      <c r="G35" s="90"/>
      <c r="H35" s="90"/>
      <c r="I35" s="75" t="e">
        <f>#REF!-#REF!</f>
        <v>#REF!</v>
      </c>
      <c r="J35" s="76" t="e">
        <f>#REF!-#REF!</f>
        <v>#REF!</v>
      </c>
    </row>
    <row r="36" spans="1:10" s="50" customFormat="1" ht="18.75">
      <c r="A36" s="126" t="s">
        <v>13</v>
      </c>
      <c r="B36" s="168" t="s">
        <v>227</v>
      </c>
      <c r="C36" s="219">
        <v>200000000</v>
      </c>
      <c r="D36" s="169">
        <v>160000000</v>
      </c>
      <c r="E36" s="179">
        <v>41694360</v>
      </c>
      <c r="F36" s="169">
        <v>41694360</v>
      </c>
      <c r="G36" s="170">
        <f>E36/C36</f>
        <v>0.20847180000000001</v>
      </c>
      <c r="H36" s="170">
        <f>F36/D36</f>
        <v>0.26058975000000001</v>
      </c>
      <c r="I36" s="75" t="e">
        <f>#REF!-#REF!</f>
        <v>#REF!</v>
      </c>
      <c r="J36" s="76" t="e">
        <f>#REF!-#REF!</f>
        <v>#REF!</v>
      </c>
    </row>
    <row r="37" spans="1:10" s="50" customFormat="1" ht="18.75">
      <c r="A37" s="19" t="s">
        <v>13</v>
      </c>
      <c r="B37" s="20" t="s">
        <v>228</v>
      </c>
      <c r="C37" s="70">
        <v>800000000</v>
      </c>
      <c r="D37" s="70">
        <v>800000000</v>
      </c>
      <c r="E37" s="176">
        <v>638570541</v>
      </c>
      <c r="F37" s="70">
        <v>638570541</v>
      </c>
      <c r="G37" s="89">
        <f t="shared" ref="G37:G38" si="10">E37/C37</f>
        <v>0.79821317624999999</v>
      </c>
      <c r="H37" s="89">
        <f t="shared" ref="H37:H38" si="11">F37/D37</f>
        <v>0.79821317624999999</v>
      </c>
      <c r="I37" s="75" t="e">
        <f>#REF!-#REF!</f>
        <v>#REF!</v>
      </c>
      <c r="J37" s="76" t="e">
        <f>#REF!-#REF!</f>
        <v>#REF!</v>
      </c>
    </row>
    <row r="38" spans="1:10" s="50" customFormat="1" ht="18.75">
      <c r="A38" s="19" t="s">
        <v>13</v>
      </c>
      <c r="B38" s="20" t="s">
        <v>229</v>
      </c>
      <c r="C38" s="70">
        <v>240000000</v>
      </c>
      <c r="D38" s="70">
        <v>240000000</v>
      </c>
      <c r="E38" s="220">
        <v>169691000</v>
      </c>
      <c r="F38" s="70">
        <v>169691000</v>
      </c>
      <c r="G38" s="89">
        <f t="shared" si="10"/>
        <v>0.70704583333333337</v>
      </c>
      <c r="H38" s="89">
        <f t="shared" si="11"/>
        <v>0.70704583333333337</v>
      </c>
      <c r="I38" s="75" t="e">
        <f>#REF!-#REF!</f>
        <v>#REF!</v>
      </c>
      <c r="J38" s="76" t="e">
        <f>#REF!-#REF!</f>
        <v>#REF!</v>
      </c>
    </row>
    <row r="39" spans="1:10" s="175" customFormat="1" ht="18.75">
      <c r="A39" s="172" t="s">
        <v>33</v>
      </c>
      <c r="B39" s="18" t="s">
        <v>276</v>
      </c>
      <c r="C39" s="67"/>
      <c r="D39" s="67"/>
      <c r="E39" s="67"/>
      <c r="F39" s="67"/>
      <c r="G39" s="87"/>
      <c r="H39" s="87"/>
      <c r="I39" s="173" t="e">
        <f>#REF!-#REF!</f>
        <v>#REF!</v>
      </c>
      <c r="J39" s="174" t="e">
        <f>#REF!-#REF!</f>
        <v>#REF!</v>
      </c>
    </row>
    <row r="40" spans="1:10" s="175" customFormat="1" ht="18.75">
      <c r="A40" s="172" t="s">
        <v>34</v>
      </c>
      <c r="B40" s="18" t="s">
        <v>230</v>
      </c>
      <c r="C40" s="67">
        <v>20000000</v>
      </c>
      <c r="D40" s="67">
        <v>20000000</v>
      </c>
      <c r="E40" s="67">
        <v>35899451</v>
      </c>
      <c r="F40" s="67">
        <v>35899451</v>
      </c>
      <c r="G40" s="87">
        <f>E40/C40</f>
        <v>1.79497255</v>
      </c>
      <c r="H40" s="87">
        <f>F40/D40</f>
        <v>1.79497255</v>
      </c>
      <c r="I40" s="173" t="e">
        <f>#REF!-#REF!</f>
        <v>#REF!</v>
      </c>
      <c r="J40" s="174" t="e">
        <f>#REF!-#REF!</f>
        <v>#REF!</v>
      </c>
    </row>
    <row r="41" spans="1:10" s="175" customFormat="1" ht="18.75">
      <c r="A41" s="172" t="s">
        <v>35</v>
      </c>
      <c r="B41" s="18" t="s">
        <v>231</v>
      </c>
      <c r="C41" s="67">
        <v>110000000</v>
      </c>
      <c r="D41" s="67">
        <v>88000000</v>
      </c>
      <c r="E41" s="67">
        <v>271318458</v>
      </c>
      <c r="F41" s="67">
        <v>217054769</v>
      </c>
      <c r="G41" s="87">
        <f>E41/C41</f>
        <v>2.4665314363636361</v>
      </c>
      <c r="H41" s="87">
        <f>F41/D41</f>
        <v>2.4665314659090911</v>
      </c>
      <c r="I41" s="173" t="e">
        <f>#REF!-#REF!</f>
        <v>#REF!</v>
      </c>
      <c r="J41" s="174" t="e">
        <f>#REF!-#REF!</f>
        <v>#REF!</v>
      </c>
    </row>
    <row r="42" spans="1:10" s="175" customFormat="1" ht="18.75">
      <c r="A42" s="172" t="s">
        <v>36</v>
      </c>
      <c r="B42" s="18" t="s">
        <v>232</v>
      </c>
      <c r="C42" s="67">
        <v>17000000000</v>
      </c>
      <c r="D42" s="67">
        <v>14960000000</v>
      </c>
      <c r="E42" s="67">
        <v>3446128350</v>
      </c>
      <c r="F42" s="67">
        <f>2902172113+247252835</f>
        <v>3149424948</v>
      </c>
      <c r="G42" s="87">
        <f t="shared" ref="G42:G44" si="12">E42/C42</f>
        <v>0.20271343235294118</v>
      </c>
      <c r="H42" s="87">
        <f t="shared" ref="H42:H44" si="13">F42/D42</f>
        <v>0.21052305802139037</v>
      </c>
      <c r="I42" s="173" t="e">
        <f>#REF!-#REF!</f>
        <v>#REF!</v>
      </c>
      <c r="J42" s="174" t="e">
        <f>#REF!-#REF!</f>
        <v>#REF!</v>
      </c>
    </row>
    <row r="43" spans="1:10" s="175" customFormat="1" ht="18.75" customHeight="1">
      <c r="A43" s="172" t="s">
        <v>37</v>
      </c>
      <c r="B43" s="18" t="s">
        <v>436</v>
      </c>
      <c r="C43" s="67"/>
      <c r="D43" s="67"/>
      <c r="E43" s="67"/>
      <c r="F43" s="67"/>
      <c r="G43" s="87"/>
      <c r="H43" s="87"/>
      <c r="I43" s="173"/>
      <c r="J43" s="177"/>
    </row>
    <row r="44" spans="1:10" s="175" customFormat="1" ht="18.75">
      <c r="A44" s="172" t="s">
        <v>38</v>
      </c>
      <c r="B44" s="18" t="s">
        <v>233</v>
      </c>
      <c r="C44" s="67">
        <v>450000000</v>
      </c>
      <c r="D44" s="67">
        <v>450000000</v>
      </c>
      <c r="E44" s="67">
        <v>733115210</v>
      </c>
      <c r="F44" s="67">
        <v>369091210</v>
      </c>
      <c r="G44" s="87">
        <f t="shared" si="12"/>
        <v>1.6291449111111111</v>
      </c>
      <c r="H44" s="87">
        <f t="shared" si="13"/>
        <v>0.82020268888888892</v>
      </c>
      <c r="I44" s="173"/>
      <c r="J44" s="177"/>
    </row>
    <row r="45" spans="1:10" s="175" customFormat="1" ht="18.75">
      <c r="A45" s="172" t="s">
        <v>39</v>
      </c>
      <c r="B45" s="18" t="s">
        <v>278</v>
      </c>
      <c r="C45" s="67"/>
      <c r="D45" s="67"/>
      <c r="E45" s="67"/>
      <c r="F45" s="67"/>
      <c r="G45" s="87"/>
      <c r="H45" s="87"/>
      <c r="I45" s="173"/>
      <c r="J45" s="177"/>
    </row>
    <row r="46" spans="1:10" s="175" customFormat="1" ht="18.75">
      <c r="A46" s="172" t="s">
        <v>40</v>
      </c>
      <c r="B46" s="18" t="s">
        <v>234</v>
      </c>
      <c r="C46" s="67">
        <f>C47+C54</f>
        <v>2220000000</v>
      </c>
      <c r="D46" s="67">
        <f>D47+D54</f>
        <v>1420000000</v>
      </c>
      <c r="E46" s="67">
        <v>2394095052</v>
      </c>
      <c r="F46" s="67">
        <f>853185054+166441000</f>
        <v>1019626054</v>
      </c>
      <c r="G46" s="87">
        <f>E46/C46</f>
        <v>1.0784211945945945</v>
      </c>
      <c r="H46" s="87">
        <f>F46/D46</f>
        <v>0.71804651690140842</v>
      </c>
      <c r="I46" s="173" t="e">
        <f>#REF!-#REF!</f>
        <v>#REF!</v>
      </c>
      <c r="J46" s="174" t="e">
        <f>#REF!-#REF!</f>
        <v>#REF!</v>
      </c>
    </row>
    <row r="47" spans="1:10" s="50" customFormat="1" ht="18.75">
      <c r="A47" s="19" t="s">
        <v>13</v>
      </c>
      <c r="B47" s="20" t="s">
        <v>235</v>
      </c>
      <c r="C47" s="70">
        <v>1280000000</v>
      </c>
      <c r="D47" s="70">
        <v>500000000</v>
      </c>
      <c r="E47" s="70">
        <v>1476520316</v>
      </c>
      <c r="F47" s="70">
        <f>247000000+117100000</f>
        <v>364100000</v>
      </c>
      <c r="G47" s="89">
        <f>E47/C47</f>
        <v>1.1535314968749999</v>
      </c>
      <c r="H47" s="89">
        <f>F47/D47</f>
        <v>0.72819999999999996</v>
      </c>
      <c r="I47" s="75"/>
      <c r="J47" s="76"/>
    </row>
    <row r="48" spans="1:10" s="51" customFormat="1" ht="18.75">
      <c r="A48" s="71"/>
      <c r="B48" s="20" t="s">
        <v>236</v>
      </c>
      <c r="C48" s="72"/>
      <c r="D48" s="72"/>
      <c r="E48" s="72"/>
      <c r="F48" s="72"/>
      <c r="G48" s="88"/>
      <c r="H48" s="88"/>
      <c r="I48" s="73"/>
      <c r="J48" s="74"/>
    </row>
    <row r="49" spans="1:10" s="51" customFormat="1" ht="18.75">
      <c r="A49" s="71"/>
      <c r="B49" s="77" t="s">
        <v>237</v>
      </c>
      <c r="C49" s="72">
        <v>600000000</v>
      </c>
      <c r="D49" s="72"/>
      <c r="E49" s="72">
        <v>419425000</v>
      </c>
      <c r="F49" s="72"/>
      <c r="G49" s="88">
        <f>E49/C49</f>
        <v>0.69904166666666667</v>
      </c>
      <c r="H49" s="88"/>
      <c r="I49" s="73"/>
      <c r="J49" s="74"/>
    </row>
    <row r="50" spans="1:10" s="51" customFormat="1" ht="18.75">
      <c r="A50" s="71"/>
      <c r="B50" s="77" t="s">
        <v>238</v>
      </c>
      <c r="C50" s="72">
        <v>680000000</v>
      </c>
      <c r="D50" s="72">
        <v>500000000</v>
      </c>
      <c r="E50" s="72">
        <v>161245316</v>
      </c>
      <c r="F50" s="72"/>
      <c r="G50" s="88">
        <f>E50/C50</f>
        <v>0.23712546470588236</v>
      </c>
      <c r="H50" s="88"/>
      <c r="I50" s="73"/>
      <c r="J50" s="74"/>
    </row>
    <row r="51" spans="1:10" s="50" customFormat="1" ht="18.75">
      <c r="A51" s="19" t="s">
        <v>13</v>
      </c>
      <c r="B51" s="171" t="s">
        <v>239</v>
      </c>
      <c r="C51" s="70"/>
      <c r="D51" s="70"/>
      <c r="E51" s="70">
        <v>49407600</v>
      </c>
      <c r="F51" s="70">
        <v>6337600</v>
      </c>
      <c r="G51" s="89"/>
      <c r="H51" s="89"/>
      <c r="I51" s="75"/>
      <c r="J51" s="76"/>
    </row>
    <row r="52" spans="1:10" s="50" customFormat="1" ht="18.75">
      <c r="A52" s="19" t="s">
        <v>13</v>
      </c>
      <c r="B52" s="171" t="s">
        <v>240</v>
      </c>
      <c r="C52" s="70"/>
      <c r="D52" s="70"/>
      <c r="E52" s="70">
        <v>754450946</v>
      </c>
      <c r="F52" s="70">
        <f>537054946+1341000</f>
        <v>538395946</v>
      </c>
      <c r="G52" s="89"/>
      <c r="H52" s="89"/>
      <c r="I52" s="75"/>
      <c r="J52" s="76"/>
    </row>
    <row r="53" spans="1:10" s="50" customFormat="1" ht="18.75">
      <c r="A53" s="19" t="s">
        <v>13</v>
      </c>
      <c r="B53" s="171" t="s">
        <v>241</v>
      </c>
      <c r="C53" s="70"/>
      <c r="D53" s="70"/>
      <c r="E53" s="70">
        <v>4351468</v>
      </c>
      <c r="F53" s="70">
        <v>2036568</v>
      </c>
      <c r="G53" s="89"/>
      <c r="H53" s="89"/>
      <c r="I53" s="75"/>
      <c r="J53" s="76"/>
    </row>
    <row r="54" spans="1:10" s="50" customFormat="1" ht="18.75">
      <c r="A54" s="19" t="s">
        <v>13</v>
      </c>
      <c r="B54" s="20" t="s">
        <v>242</v>
      </c>
      <c r="C54" s="70">
        <v>940000000</v>
      </c>
      <c r="D54" s="70">
        <v>920000000</v>
      </c>
      <c r="E54" s="70">
        <v>109364722</v>
      </c>
      <c r="F54" s="70">
        <f>60755940+48000000</f>
        <v>108755940</v>
      </c>
      <c r="G54" s="89">
        <f>E54/C54</f>
        <v>0.11634544893617021</v>
      </c>
      <c r="H54" s="89">
        <f>F54/D54</f>
        <v>0.11821297826086956</v>
      </c>
      <c r="I54" s="75"/>
      <c r="J54" s="76"/>
    </row>
    <row r="55" spans="1:10" s="50" customFormat="1" ht="18.75">
      <c r="A55" s="17" t="s">
        <v>17</v>
      </c>
      <c r="B55" s="18" t="s">
        <v>243</v>
      </c>
      <c r="C55" s="70"/>
      <c r="D55" s="70"/>
      <c r="E55" s="70"/>
      <c r="F55" s="70"/>
      <c r="G55" s="89"/>
      <c r="H55" s="89"/>
      <c r="I55" s="75" t="e">
        <f>#REF!-#REF!</f>
        <v>#REF!</v>
      </c>
      <c r="J55" s="76" t="e">
        <f>#REF!-#REF!</f>
        <v>#REF!</v>
      </c>
    </row>
    <row r="56" spans="1:10" s="50" customFormat="1" ht="18.75">
      <c r="A56" s="17" t="s">
        <v>59</v>
      </c>
      <c r="B56" s="18" t="s">
        <v>244</v>
      </c>
      <c r="C56" s="70"/>
      <c r="D56" s="70"/>
      <c r="E56" s="70"/>
      <c r="F56" s="70"/>
      <c r="G56" s="89"/>
      <c r="H56" s="89"/>
      <c r="I56" s="75" t="e">
        <f>#REF!-#REF!</f>
        <v>#REF!</v>
      </c>
      <c r="J56" s="76" t="e">
        <f>#REF!-#REF!</f>
        <v>#REF!</v>
      </c>
    </row>
    <row r="57" spans="1:10" s="50" customFormat="1" ht="18.75">
      <c r="A57" s="23">
        <v>1</v>
      </c>
      <c r="B57" s="20" t="s">
        <v>245</v>
      </c>
      <c r="C57" s="70"/>
      <c r="D57" s="70"/>
      <c r="E57" s="70"/>
      <c r="F57" s="70"/>
      <c r="G57" s="89"/>
      <c r="H57" s="89"/>
      <c r="I57" s="75"/>
      <c r="J57" s="76"/>
    </row>
    <row r="58" spans="1:10" s="50" customFormat="1" ht="18.75">
      <c r="A58" s="23">
        <f>A57+1</f>
        <v>2</v>
      </c>
      <c r="B58" s="20" t="s">
        <v>246</v>
      </c>
      <c r="C58" s="70"/>
      <c r="D58" s="70"/>
      <c r="E58" s="70"/>
      <c r="F58" s="70"/>
      <c r="G58" s="89"/>
      <c r="H58" s="89"/>
      <c r="I58" s="75"/>
      <c r="J58" s="76"/>
    </row>
    <row r="59" spans="1:10" s="50" customFormat="1" ht="18.75">
      <c r="A59" s="23">
        <f>A58+1</f>
        <v>3</v>
      </c>
      <c r="B59" s="20" t="s">
        <v>247</v>
      </c>
      <c r="C59" s="70"/>
      <c r="D59" s="70"/>
      <c r="E59" s="70"/>
      <c r="F59" s="70"/>
      <c r="G59" s="89"/>
      <c r="H59" s="89"/>
      <c r="I59" s="75"/>
      <c r="J59" s="76"/>
    </row>
    <row r="60" spans="1:10" s="50" customFormat="1" ht="18.75">
      <c r="A60" s="23">
        <f>A59+1</f>
        <v>4</v>
      </c>
      <c r="B60" s="20" t="s">
        <v>248</v>
      </c>
      <c r="C60" s="70"/>
      <c r="D60" s="70"/>
      <c r="E60" s="70"/>
      <c r="F60" s="70"/>
      <c r="G60" s="89"/>
      <c r="H60" s="89"/>
      <c r="I60" s="75"/>
      <c r="J60" s="76"/>
    </row>
    <row r="61" spans="1:10" s="50" customFormat="1" ht="18.75">
      <c r="A61" s="23">
        <f>A60+1</f>
        <v>5</v>
      </c>
      <c r="B61" s="20" t="s">
        <v>249</v>
      </c>
      <c r="C61" s="70"/>
      <c r="D61" s="70"/>
      <c r="E61" s="70"/>
      <c r="F61" s="70"/>
      <c r="G61" s="89"/>
      <c r="H61" s="89"/>
      <c r="I61" s="75"/>
      <c r="J61" s="76"/>
    </row>
    <row r="62" spans="1:10" s="50" customFormat="1" ht="18.75">
      <c r="A62" s="23">
        <f>A61+1</f>
        <v>6</v>
      </c>
      <c r="B62" s="20" t="s">
        <v>250</v>
      </c>
      <c r="C62" s="70"/>
      <c r="D62" s="70"/>
      <c r="E62" s="70"/>
      <c r="F62" s="70"/>
      <c r="G62" s="89"/>
      <c r="H62" s="89"/>
      <c r="I62" s="75"/>
      <c r="J62" s="76"/>
    </row>
    <row r="63" spans="1:10" s="50" customFormat="1" ht="18.75">
      <c r="A63" s="17" t="s">
        <v>60</v>
      </c>
      <c r="B63" s="18" t="s">
        <v>206</v>
      </c>
      <c r="C63" s="70"/>
      <c r="D63" s="70"/>
      <c r="E63" s="70"/>
      <c r="F63" s="70"/>
      <c r="G63" s="89"/>
      <c r="H63" s="89"/>
      <c r="I63" s="75" t="e">
        <f>#REF!-#REF!</f>
        <v>#REF!</v>
      </c>
      <c r="J63" s="76" t="e">
        <f>#REF!-#REF!</f>
        <v>#REF!</v>
      </c>
    </row>
    <row r="64" spans="1:10" s="50" customFormat="1" ht="18.75">
      <c r="A64" s="221" t="s">
        <v>24</v>
      </c>
      <c r="B64" s="222" t="s">
        <v>251</v>
      </c>
      <c r="C64" s="70"/>
      <c r="D64" s="70"/>
      <c r="E64" s="70"/>
      <c r="F64" s="70"/>
      <c r="G64" s="89"/>
      <c r="H64" s="89"/>
      <c r="I64" s="223"/>
      <c r="J64" s="224"/>
    </row>
    <row r="65" spans="1:10" s="50" customFormat="1" ht="18.75">
      <c r="A65" s="221" t="s">
        <v>42</v>
      </c>
      <c r="B65" s="222" t="s">
        <v>252</v>
      </c>
      <c r="C65" s="70"/>
      <c r="D65" s="70"/>
      <c r="E65" s="67">
        <v>5767568104</v>
      </c>
      <c r="F65" s="67">
        <v>5767568104</v>
      </c>
      <c r="G65" s="89"/>
      <c r="H65" s="89"/>
      <c r="I65" s="223"/>
      <c r="J65" s="224"/>
    </row>
    <row r="66" spans="1:10" s="50" customFormat="1" ht="37.5">
      <c r="A66" s="225" t="s">
        <v>190</v>
      </c>
      <c r="B66" s="226" t="s">
        <v>253</v>
      </c>
      <c r="C66" s="78"/>
      <c r="D66" s="78"/>
      <c r="E66" s="227">
        <v>77377737332</v>
      </c>
      <c r="F66" s="227">
        <v>77377737332</v>
      </c>
      <c r="G66" s="90"/>
      <c r="H66" s="90"/>
      <c r="I66" s="223"/>
      <c r="J66" s="224"/>
    </row>
    <row r="67" spans="1:10" s="233" customFormat="1">
      <c r="A67" s="228" t="s">
        <v>456</v>
      </c>
      <c r="B67" s="229"/>
      <c r="C67" s="230"/>
      <c r="D67" s="230"/>
      <c r="E67" s="230"/>
      <c r="F67" s="230"/>
      <c r="G67" s="231"/>
      <c r="H67" s="231"/>
      <c r="I67" s="232"/>
      <c r="J67" s="232"/>
    </row>
    <row r="68" spans="1:10" ht="25.5" customHeight="1">
      <c r="A68" s="361" t="s">
        <v>254</v>
      </c>
      <c r="B68" s="361"/>
      <c r="C68" s="361"/>
      <c r="D68" s="361"/>
      <c r="E68" s="361"/>
      <c r="F68" s="361"/>
      <c r="G68" s="361"/>
      <c r="H68" s="361"/>
      <c r="I68" s="361"/>
      <c r="J68" s="361"/>
    </row>
    <row r="69" spans="1:10" ht="19.5" customHeight="1">
      <c r="A69" s="40"/>
      <c r="B69" s="79" t="s">
        <v>255</v>
      </c>
      <c r="C69" s="40"/>
      <c r="D69" s="40"/>
      <c r="E69" s="40"/>
      <c r="F69" s="40"/>
      <c r="G69" s="40"/>
      <c r="H69" s="40"/>
      <c r="I69" s="40"/>
      <c r="J69" s="40"/>
    </row>
    <row r="70" spans="1:10" ht="18.75">
      <c r="A70" s="40"/>
      <c r="B70" s="79" t="s">
        <v>256</v>
      </c>
      <c r="C70" s="40"/>
      <c r="D70" s="40"/>
      <c r="E70" s="40"/>
      <c r="F70" s="40"/>
      <c r="G70" s="40"/>
      <c r="H70" s="40"/>
      <c r="I70" s="40"/>
      <c r="J70" s="40"/>
    </row>
    <row r="71" spans="1:10" ht="18.75">
      <c r="A71" s="40"/>
      <c r="B71" s="79" t="s">
        <v>257</v>
      </c>
      <c r="C71" s="40"/>
      <c r="D71" s="40"/>
      <c r="E71" s="40"/>
      <c r="F71" s="40"/>
      <c r="G71" s="40"/>
      <c r="H71" s="40"/>
      <c r="I71" s="40"/>
      <c r="J71" s="40"/>
    </row>
    <row r="72" spans="1:10" ht="18.75">
      <c r="A72" s="40"/>
      <c r="B72" s="80" t="s">
        <v>258</v>
      </c>
      <c r="C72" s="40"/>
      <c r="D72" s="40"/>
      <c r="E72" s="40"/>
      <c r="F72" s="40"/>
      <c r="G72" s="40"/>
      <c r="H72" s="40"/>
      <c r="I72" s="40"/>
      <c r="J72" s="40"/>
    </row>
    <row r="73" spans="1:10" ht="18.75">
      <c r="A73" s="40"/>
      <c r="B73" s="81" t="s">
        <v>259</v>
      </c>
      <c r="C73" s="40"/>
      <c r="D73" s="40"/>
      <c r="E73" s="40"/>
      <c r="F73" s="40"/>
      <c r="G73" s="40"/>
      <c r="H73" s="40"/>
      <c r="I73" s="40"/>
      <c r="J73" s="40"/>
    </row>
    <row r="74" spans="1:10" ht="18.75">
      <c r="A74" s="40"/>
      <c r="B74" s="80" t="s">
        <v>260</v>
      </c>
      <c r="C74" s="40"/>
      <c r="D74" s="40"/>
      <c r="E74" s="40"/>
      <c r="F74" s="40"/>
      <c r="G74" s="40"/>
      <c r="H74" s="40"/>
      <c r="I74" s="40"/>
      <c r="J74" s="40"/>
    </row>
    <row r="75" spans="1:10" ht="18.75">
      <c r="A75" s="40"/>
      <c r="B75" s="81" t="s">
        <v>261</v>
      </c>
      <c r="C75" s="40"/>
      <c r="D75" s="40"/>
      <c r="E75" s="40"/>
      <c r="F75" s="40"/>
      <c r="G75" s="40"/>
      <c r="H75" s="40"/>
      <c r="I75" s="40"/>
      <c r="J75" s="40"/>
    </row>
    <row r="76" spans="1:10" ht="18.75">
      <c r="A76" s="41"/>
      <c r="B76" s="79" t="s">
        <v>262</v>
      </c>
      <c r="C76" s="40"/>
      <c r="D76" s="40"/>
      <c r="E76" s="40"/>
      <c r="F76" s="40"/>
      <c r="G76" s="40"/>
      <c r="H76" s="40"/>
      <c r="I76" s="40"/>
      <c r="J76" s="40"/>
    </row>
    <row r="77" spans="1:10" ht="18.75">
      <c r="A77" s="50"/>
      <c r="B77" s="79" t="s">
        <v>263</v>
      </c>
      <c r="C77" s="40"/>
      <c r="D77" s="40"/>
      <c r="E77" s="40"/>
      <c r="F77" s="40"/>
      <c r="G77" s="40"/>
      <c r="H77" s="40"/>
      <c r="I77" s="40"/>
      <c r="J77" s="40"/>
    </row>
    <row r="78" spans="1:10" ht="18.75">
      <c r="A78" s="50"/>
      <c r="B78" s="79" t="s">
        <v>264</v>
      </c>
      <c r="C78" s="40"/>
      <c r="D78" s="40"/>
      <c r="E78" s="40"/>
      <c r="F78" s="40"/>
      <c r="G78" s="40"/>
      <c r="H78" s="40"/>
      <c r="I78" s="40"/>
      <c r="J78" s="40"/>
    </row>
    <row r="79" spans="1:10" ht="18.75">
      <c r="A79" s="50"/>
      <c r="B79" s="50"/>
      <c r="C79" s="50"/>
      <c r="D79" s="50"/>
      <c r="E79" s="50"/>
      <c r="F79" s="50"/>
      <c r="G79" s="50"/>
      <c r="H79" s="50"/>
    </row>
    <row r="80" spans="1:10" ht="18.75">
      <c r="A80" s="50"/>
      <c r="B80" s="50"/>
      <c r="C80" s="50"/>
      <c r="D80" s="50"/>
      <c r="E80" s="50"/>
      <c r="F80" s="50"/>
      <c r="G80" s="50"/>
      <c r="H80" s="50"/>
    </row>
    <row r="81" spans="1:8" ht="22.5" customHeight="1">
      <c r="A81" s="50"/>
      <c r="B81" s="50"/>
      <c r="C81" s="50"/>
      <c r="D81" s="50"/>
      <c r="E81" s="50"/>
      <c r="F81" s="50"/>
      <c r="G81" s="50"/>
      <c r="H81" s="50"/>
    </row>
    <row r="82" spans="1:8" ht="18.75">
      <c r="A82" s="50"/>
      <c r="B82" s="50"/>
      <c r="C82" s="50"/>
      <c r="D82" s="50"/>
      <c r="E82" s="50"/>
      <c r="F82" s="50"/>
      <c r="G82" s="50"/>
      <c r="H82" s="50"/>
    </row>
    <row r="83" spans="1:8" ht="18.75">
      <c r="A83" s="50"/>
      <c r="B83" s="50"/>
      <c r="C83" s="50"/>
      <c r="D83" s="50"/>
      <c r="E83" s="50"/>
      <c r="F83" s="50"/>
      <c r="G83" s="50"/>
      <c r="H83" s="50"/>
    </row>
    <row r="84" spans="1:8" ht="18.75">
      <c r="A84" s="50"/>
      <c r="B84" s="50"/>
      <c r="C84" s="50"/>
      <c r="D84" s="50"/>
      <c r="E84" s="50"/>
      <c r="F84" s="50"/>
      <c r="G84" s="50"/>
      <c r="H84" s="50"/>
    </row>
    <row r="85" spans="1:8" ht="18.75">
      <c r="A85" s="50"/>
      <c r="B85" s="50"/>
      <c r="C85" s="50"/>
      <c r="D85" s="50"/>
      <c r="E85" s="50"/>
      <c r="F85" s="50"/>
      <c r="G85" s="50"/>
      <c r="H85" s="50"/>
    </row>
  </sheetData>
  <mergeCells count="9">
    <mergeCell ref="A68:J68"/>
    <mergeCell ref="A3:H3"/>
    <mergeCell ref="A4:H4"/>
    <mergeCell ref="A7:A8"/>
    <mergeCell ref="B7:B8"/>
    <mergeCell ref="C7:D7"/>
    <mergeCell ref="E7:F7"/>
    <mergeCell ref="G7:H7"/>
    <mergeCell ref="G5:H6"/>
  </mergeCells>
  <phoneticPr fontId="30" type="noConversion"/>
  <pageMargins left="0.87" right="0.37" top="0.54" bottom="0.48" header="0.2" footer="0.2"/>
  <pageSetup paperSize="9" scale="76" fitToHeight="0" orientation="landscape" r:id="rId1"/>
  <headerFooter alignWithMargins="0">
    <oddFooter xml:space="preserve">&amp;C&amp;"Arial,Regular"&amp;12&amp;P/&amp;N&amp;".VnTime,  Italic"&amp;8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showGridLines="0" showZeros="0" topLeftCell="A7" workbookViewId="0">
      <selection activeCell="A4" sqref="A4:E4"/>
    </sheetView>
  </sheetViews>
  <sheetFormatPr defaultRowHeight="16.5"/>
  <cols>
    <col min="1" max="1" width="7" style="139" customWidth="1"/>
    <col min="2" max="2" width="51.7109375" style="139" customWidth="1"/>
    <col min="3" max="3" width="20" style="139" customWidth="1"/>
    <col min="4" max="4" width="19.7109375" style="139" customWidth="1"/>
    <col min="5" max="5" width="13.5703125" style="139" customWidth="1"/>
    <col min="6" max="6" width="20.42578125" style="139" customWidth="1"/>
    <col min="7" max="16384" width="9.140625" style="139"/>
  </cols>
  <sheetData>
    <row r="1" spans="1:5" ht="16.5" customHeight="1">
      <c r="A1" s="137" t="s">
        <v>421</v>
      </c>
      <c r="B1" s="138"/>
      <c r="C1" s="138"/>
      <c r="E1" s="140"/>
    </row>
    <row r="2" spans="1:5">
      <c r="A2" s="141" t="s">
        <v>0</v>
      </c>
    </row>
    <row r="3" spans="1:5" s="142" customFormat="1" ht="19.5">
      <c r="A3" s="370" t="s">
        <v>451</v>
      </c>
      <c r="B3" s="370"/>
      <c r="C3" s="370"/>
      <c r="D3" s="370"/>
      <c r="E3" s="370"/>
    </row>
    <row r="4" spans="1:5" s="142" customFormat="1" ht="19.5">
      <c r="A4" s="371" t="s">
        <v>549</v>
      </c>
      <c r="B4" s="371"/>
      <c r="C4" s="371"/>
      <c r="D4" s="371"/>
      <c r="E4" s="371"/>
    </row>
    <row r="5" spans="1:5">
      <c r="A5" s="141" t="s">
        <v>0</v>
      </c>
    </row>
    <row r="6" spans="1:5">
      <c r="A6" s="372" t="s">
        <v>1</v>
      </c>
      <c r="B6" s="372"/>
      <c r="C6" s="372"/>
      <c r="D6" s="372"/>
      <c r="E6" s="372"/>
    </row>
    <row r="7" spans="1:5" ht="6.75" customHeight="1">
      <c r="A7" s="141" t="s">
        <v>0</v>
      </c>
    </row>
    <row r="8" spans="1:5" ht="33.75" customHeight="1">
      <c r="A8" s="143" t="s">
        <v>2</v>
      </c>
      <c r="B8" s="143" t="s">
        <v>3</v>
      </c>
      <c r="C8" s="143" t="s">
        <v>4</v>
      </c>
      <c r="D8" s="143" t="s">
        <v>552</v>
      </c>
      <c r="E8" s="143" t="s">
        <v>6</v>
      </c>
    </row>
    <row r="9" spans="1:5">
      <c r="A9" s="143" t="s">
        <v>7</v>
      </c>
      <c r="B9" s="143" t="s">
        <v>24</v>
      </c>
      <c r="C9" s="143">
        <v>1</v>
      </c>
      <c r="D9" s="143">
        <v>2</v>
      </c>
      <c r="E9" s="143" t="s">
        <v>432</v>
      </c>
    </row>
    <row r="10" spans="1:5" s="147" customFormat="1" ht="27" customHeight="1">
      <c r="A10" s="144"/>
      <c r="B10" s="144" t="s">
        <v>45</v>
      </c>
      <c r="C10" s="145">
        <f>C11+C28+C102</f>
        <v>342953000000</v>
      </c>
      <c r="D10" s="145">
        <f>D11+D28+D101+D102</f>
        <v>464000483694</v>
      </c>
      <c r="E10" s="146">
        <f>D10/C10</f>
        <v>1.3529564800249596</v>
      </c>
    </row>
    <row r="11" spans="1:5" s="147" customFormat="1" ht="20.100000000000001" customHeight="1">
      <c r="A11" s="148" t="s">
        <v>7</v>
      </c>
      <c r="B11" s="149" t="s">
        <v>8</v>
      </c>
      <c r="C11" s="150">
        <f>C12+C22+C26+C27</f>
        <v>300953000000</v>
      </c>
      <c r="D11" s="150">
        <f>D12+D22+D26+D27</f>
        <v>307686205892</v>
      </c>
      <c r="E11" s="151">
        <f t="shared" ref="E11:E77" si="0">D11/C11</f>
        <v>1.0223729482410875</v>
      </c>
    </row>
    <row r="12" spans="1:5" s="147" customFormat="1" ht="20.100000000000001" customHeight="1">
      <c r="A12" s="148" t="s">
        <v>9</v>
      </c>
      <c r="B12" s="149" t="s">
        <v>10</v>
      </c>
      <c r="C12" s="150">
        <f>C13+C20+C21</f>
        <v>22990000000</v>
      </c>
      <c r="D12" s="150">
        <f>D13</f>
        <v>19346248981</v>
      </c>
      <c r="E12" s="151">
        <f t="shared" si="0"/>
        <v>0.84150713270987387</v>
      </c>
    </row>
    <row r="13" spans="1:5" ht="20.100000000000001" customHeight="1">
      <c r="A13" s="152" t="s">
        <v>11</v>
      </c>
      <c r="B13" s="153" t="s">
        <v>12</v>
      </c>
      <c r="C13" s="154">
        <f>8030000000+14170000000</f>
        <v>22200000000</v>
      </c>
      <c r="D13" s="154">
        <f>18907495540+438753441</f>
        <v>19346248981</v>
      </c>
      <c r="E13" s="155">
        <f t="shared" si="0"/>
        <v>0.87145265680180184</v>
      </c>
    </row>
    <row r="14" spans="1:5" s="160" customFormat="1" ht="20.100000000000001" customHeight="1">
      <c r="A14" s="180"/>
      <c r="B14" s="181" t="s">
        <v>466</v>
      </c>
      <c r="C14" s="158"/>
      <c r="D14" s="158"/>
      <c r="E14" s="159"/>
    </row>
    <row r="15" spans="1:5" ht="20.100000000000001" customHeight="1">
      <c r="A15" s="152" t="s">
        <v>13</v>
      </c>
      <c r="B15" s="153" t="s">
        <v>14</v>
      </c>
      <c r="C15" s="154">
        <v>1867000000</v>
      </c>
      <c r="D15" s="154">
        <v>4986517000</v>
      </c>
      <c r="E15" s="155">
        <f t="shared" si="0"/>
        <v>2.6708714515265131</v>
      </c>
    </row>
    <row r="16" spans="1:5" ht="20.100000000000001" customHeight="1">
      <c r="A16" s="152" t="s">
        <v>13</v>
      </c>
      <c r="B16" s="153" t="s">
        <v>15</v>
      </c>
      <c r="C16" s="154"/>
      <c r="D16" s="154"/>
      <c r="E16" s="155"/>
    </row>
    <row r="17" spans="1:5" s="160" customFormat="1" ht="20.100000000000001" customHeight="1">
      <c r="A17" s="180"/>
      <c r="B17" s="181" t="s">
        <v>465</v>
      </c>
      <c r="C17" s="158"/>
      <c r="D17" s="158"/>
      <c r="E17" s="159"/>
    </row>
    <row r="18" spans="1:5" ht="20.100000000000001" customHeight="1">
      <c r="A18" s="156" t="s">
        <v>13</v>
      </c>
      <c r="B18" s="153" t="s">
        <v>288</v>
      </c>
      <c r="C18" s="154">
        <v>14170000000</v>
      </c>
      <c r="D18" s="154">
        <f>7760826588+438753441</f>
        <v>8199580029</v>
      </c>
      <c r="E18" s="155"/>
    </row>
    <row r="19" spans="1:5" ht="20.100000000000001" customHeight="1">
      <c r="A19" s="152" t="s">
        <v>13</v>
      </c>
      <c r="B19" s="153" t="s">
        <v>16</v>
      </c>
      <c r="C19" s="154"/>
      <c r="D19" s="154"/>
      <c r="E19" s="155"/>
    </row>
    <row r="20" spans="1:5" ht="66">
      <c r="A20" s="156" t="s">
        <v>19</v>
      </c>
      <c r="B20" s="182" t="s">
        <v>485</v>
      </c>
      <c r="C20" s="154"/>
      <c r="D20" s="154"/>
      <c r="E20" s="155"/>
    </row>
    <row r="21" spans="1:5" ht="20.100000000000001" customHeight="1">
      <c r="A21" s="156" t="s">
        <v>28</v>
      </c>
      <c r="B21" s="183" t="s">
        <v>58</v>
      </c>
      <c r="C21" s="154">
        <v>790000000</v>
      </c>
      <c r="D21" s="154"/>
      <c r="E21" s="155"/>
    </row>
    <row r="22" spans="1:5" s="147" customFormat="1" ht="20.100000000000001" customHeight="1">
      <c r="A22" s="148" t="s">
        <v>17</v>
      </c>
      <c r="B22" s="149" t="s">
        <v>18</v>
      </c>
      <c r="C22" s="150">
        <f>272083000000-C27</f>
        <v>268607000000</v>
      </c>
      <c r="D22" s="150">
        <f>332713810233-D37-D49-D56</f>
        <v>288339956911</v>
      </c>
      <c r="E22" s="151">
        <f t="shared" si="0"/>
        <v>1.0734640456540596</v>
      </c>
    </row>
    <row r="23" spans="1:5" s="160" customFormat="1" ht="20.100000000000001" customHeight="1">
      <c r="A23" s="180"/>
      <c r="B23" s="181" t="s">
        <v>236</v>
      </c>
      <c r="C23" s="158"/>
      <c r="D23" s="158"/>
      <c r="E23" s="159"/>
    </row>
    <row r="24" spans="1:5" ht="20.100000000000001" customHeight="1">
      <c r="A24" s="152" t="s">
        <v>11</v>
      </c>
      <c r="B24" s="153" t="s">
        <v>14</v>
      </c>
      <c r="C24" s="154">
        <v>155863000000</v>
      </c>
      <c r="D24" s="154">
        <f>183399304499-D58-D59-D60-D61-D72-D73-D74-D75-D76-D89</f>
        <v>162094566654</v>
      </c>
      <c r="E24" s="155">
        <f t="shared" si="0"/>
        <v>1.0399810516543375</v>
      </c>
    </row>
    <row r="25" spans="1:5" ht="20.100000000000001" customHeight="1">
      <c r="A25" s="152" t="s">
        <v>19</v>
      </c>
      <c r="B25" s="153" t="s">
        <v>15</v>
      </c>
      <c r="C25" s="154">
        <v>150000000</v>
      </c>
      <c r="D25" s="154">
        <v>148409000</v>
      </c>
      <c r="E25" s="155">
        <f t="shared" si="0"/>
        <v>0.98939333333333335</v>
      </c>
    </row>
    <row r="26" spans="1:5" s="147" customFormat="1" ht="20.100000000000001" customHeight="1">
      <c r="A26" s="148" t="s">
        <v>59</v>
      </c>
      <c r="B26" s="149" t="s">
        <v>21</v>
      </c>
      <c r="C26" s="150">
        <v>5880000000</v>
      </c>
      <c r="D26" s="150">
        <v>0</v>
      </c>
      <c r="E26" s="155">
        <f t="shared" si="0"/>
        <v>0</v>
      </c>
    </row>
    <row r="27" spans="1:5" s="147" customFormat="1" ht="20.100000000000001" customHeight="1">
      <c r="A27" s="148" t="s">
        <v>60</v>
      </c>
      <c r="B27" s="149" t="s">
        <v>23</v>
      </c>
      <c r="C27" s="150">
        <f>3146000000+330000000</f>
        <v>3476000000</v>
      </c>
      <c r="D27" s="150">
        <v>0</v>
      </c>
      <c r="E27" s="155">
        <f t="shared" si="0"/>
        <v>0</v>
      </c>
    </row>
    <row r="28" spans="1:5" s="147" customFormat="1" ht="20.100000000000001" customHeight="1">
      <c r="A28" s="148" t="s">
        <v>24</v>
      </c>
      <c r="B28" s="149" t="s">
        <v>25</v>
      </c>
      <c r="C28" s="150">
        <f>C29+C38</f>
        <v>42000000000</v>
      </c>
      <c r="D28" s="150">
        <f>D29+D38</f>
        <v>54193411534</v>
      </c>
      <c r="E28" s="151">
        <f t="shared" si="0"/>
        <v>1.2903193222380953</v>
      </c>
    </row>
    <row r="29" spans="1:5" s="147" customFormat="1" ht="20.100000000000001" customHeight="1">
      <c r="A29" s="148" t="s">
        <v>9</v>
      </c>
      <c r="B29" s="149" t="s">
        <v>26</v>
      </c>
      <c r="C29" s="150">
        <f>C30+C34</f>
        <v>0</v>
      </c>
      <c r="D29" s="150">
        <f>D30+D34</f>
        <v>240644072</v>
      </c>
      <c r="E29" s="151"/>
    </row>
    <row r="30" spans="1:5" ht="20.100000000000001" customHeight="1">
      <c r="A30" s="152">
        <v>1</v>
      </c>
      <c r="B30" s="153" t="s">
        <v>282</v>
      </c>
      <c r="C30" s="154"/>
      <c r="D30" s="154">
        <f>SUM(D32:D33)</f>
        <v>18144072</v>
      </c>
      <c r="E30" s="155"/>
    </row>
    <row r="31" spans="1:5" ht="20.100000000000001" customHeight="1">
      <c r="A31" s="152"/>
      <c r="B31" s="181" t="s">
        <v>236</v>
      </c>
      <c r="C31" s="154"/>
      <c r="D31" s="154"/>
      <c r="E31" s="155"/>
    </row>
    <row r="32" spans="1:5" ht="20.100000000000001" customHeight="1">
      <c r="A32" s="156" t="s">
        <v>13</v>
      </c>
      <c r="B32" s="153" t="s">
        <v>471</v>
      </c>
      <c r="C32" s="154"/>
      <c r="D32" s="154">
        <v>18144072</v>
      </c>
      <c r="E32" s="155"/>
    </row>
    <row r="33" spans="1:5" ht="20.100000000000001" customHeight="1">
      <c r="A33" s="156" t="s">
        <v>13</v>
      </c>
      <c r="B33" s="153" t="s">
        <v>472</v>
      </c>
      <c r="C33" s="154"/>
      <c r="D33" s="154"/>
      <c r="E33" s="155"/>
    </row>
    <row r="34" spans="1:5" ht="20.100000000000001" customHeight="1">
      <c r="A34" s="152">
        <v>2</v>
      </c>
      <c r="B34" s="153" t="s">
        <v>283</v>
      </c>
      <c r="C34" s="154"/>
      <c r="D34" s="154">
        <f>SUM(D36:D37)</f>
        <v>222500000</v>
      </c>
      <c r="E34" s="155"/>
    </row>
    <row r="35" spans="1:5" ht="20.100000000000001" customHeight="1">
      <c r="A35" s="152"/>
      <c r="B35" s="181" t="s">
        <v>236</v>
      </c>
      <c r="C35" s="154"/>
      <c r="D35" s="154"/>
      <c r="E35" s="155"/>
    </row>
    <row r="36" spans="1:5" ht="20.100000000000001" customHeight="1">
      <c r="A36" s="156" t="s">
        <v>13</v>
      </c>
      <c r="B36" s="153" t="s">
        <v>471</v>
      </c>
      <c r="C36" s="154"/>
      <c r="D36" s="154">
        <v>10500000</v>
      </c>
      <c r="E36" s="155"/>
    </row>
    <row r="37" spans="1:5" ht="20.100000000000001" customHeight="1">
      <c r="A37" s="156" t="s">
        <v>13</v>
      </c>
      <c r="B37" s="153" t="s">
        <v>472</v>
      </c>
      <c r="C37" s="154"/>
      <c r="D37" s="154">
        <v>212000000</v>
      </c>
      <c r="E37" s="155"/>
    </row>
    <row r="38" spans="1:5" s="147" customFormat="1" ht="20.100000000000001" customHeight="1">
      <c r="A38" s="148" t="s">
        <v>17</v>
      </c>
      <c r="B38" s="149" t="s">
        <v>27</v>
      </c>
      <c r="C38" s="150">
        <f>C39+C56</f>
        <v>42000000000</v>
      </c>
      <c r="D38" s="150">
        <f>D39+D56</f>
        <v>53952767462</v>
      </c>
      <c r="E38" s="151">
        <f>D38/C38</f>
        <v>1.2845897014761904</v>
      </c>
    </row>
    <row r="39" spans="1:5" s="147" customFormat="1" ht="20.100000000000001" customHeight="1">
      <c r="A39" s="148" t="s">
        <v>467</v>
      </c>
      <c r="B39" s="149" t="s">
        <v>468</v>
      </c>
      <c r="C39" s="150">
        <f>C40+C44+C46+C49+C51</f>
        <v>9700000000</v>
      </c>
      <c r="D39" s="150">
        <f>D40+D44+D46+D49+D51</f>
        <v>10790914140</v>
      </c>
      <c r="E39" s="151">
        <f>D39/C39</f>
        <v>1.112465375257732</v>
      </c>
    </row>
    <row r="40" spans="1:5" ht="33">
      <c r="A40" s="156" t="s">
        <v>11</v>
      </c>
      <c r="B40" s="153" t="s">
        <v>473</v>
      </c>
      <c r="C40" s="154">
        <f>SUM(C41:C43)</f>
        <v>2780000000</v>
      </c>
      <c r="D40" s="154">
        <f>SUM(D41:D43)</f>
        <v>1978700000</v>
      </c>
      <c r="E40" s="155">
        <f t="shared" ref="E40:E52" si="1">D40/C40</f>
        <v>0.71176258992805752</v>
      </c>
    </row>
    <row r="41" spans="1:5" s="160" customFormat="1">
      <c r="A41" s="157" t="s">
        <v>13</v>
      </c>
      <c r="B41" s="181" t="s">
        <v>338</v>
      </c>
      <c r="C41" s="158">
        <v>1500000000</v>
      </c>
      <c r="D41" s="158">
        <v>1500000000</v>
      </c>
      <c r="E41" s="159">
        <f t="shared" si="1"/>
        <v>1</v>
      </c>
    </row>
    <row r="42" spans="1:5" s="160" customFormat="1">
      <c r="A42" s="157" t="s">
        <v>13</v>
      </c>
      <c r="B42" s="181" t="s">
        <v>474</v>
      </c>
      <c r="C42" s="158">
        <v>780000000</v>
      </c>
      <c r="D42" s="158">
        <v>384500000</v>
      </c>
      <c r="E42" s="159">
        <f t="shared" si="1"/>
        <v>0.49294871794871797</v>
      </c>
    </row>
    <row r="43" spans="1:5" s="160" customFormat="1" ht="66">
      <c r="A43" s="157" t="s">
        <v>13</v>
      </c>
      <c r="B43" s="181" t="s">
        <v>475</v>
      </c>
      <c r="C43" s="158">
        <v>500000000</v>
      </c>
      <c r="D43" s="158">
        <v>94200000</v>
      </c>
      <c r="E43" s="159">
        <f t="shared" si="1"/>
        <v>0.18840000000000001</v>
      </c>
    </row>
    <row r="44" spans="1:5" ht="20.100000000000001" customHeight="1">
      <c r="A44" s="156" t="s">
        <v>19</v>
      </c>
      <c r="B44" s="153" t="s">
        <v>476</v>
      </c>
      <c r="C44" s="154">
        <f>C45</f>
        <v>920000000</v>
      </c>
      <c r="D44" s="154">
        <f>D45</f>
        <v>574565500</v>
      </c>
      <c r="E44" s="155">
        <f t="shared" si="1"/>
        <v>0.6245277173913043</v>
      </c>
    </row>
    <row r="45" spans="1:5" s="160" customFormat="1" ht="20.100000000000001" customHeight="1">
      <c r="A45" s="157" t="s">
        <v>13</v>
      </c>
      <c r="B45" s="181" t="s">
        <v>477</v>
      </c>
      <c r="C45" s="158">
        <v>920000000</v>
      </c>
      <c r="D45" s="158">
        <v>574565500</v>
      </c>
      <c r="E45" s="159">
        <f t="shared" si="1"/>
        <v>0.6245277173913043</v>
      </c>
    </row>
    <row r="46" spans="1:5" ht="33">
      <c r="A46" s="156" t="s">
        <v>28</v>
      </c>
      <c r="B46" s="153" t="s">
        <v>478</v>
      </c>
      <c r="C46" s="154">
        <f>SUM(C47:C48)</f>
        <v>5000000000</v>
      </c>
      <c r="D46" s="154">
        <f>SUM(D47:D48)</f>
        <v>4647023574</v>
      </c>
      <c r="E46" s="155">
        <f t="shared" si="1"/>
        <v>0.92940471479999998</v>
      </c>
    </row>
    <row r="47" spans="1:5" s="160" customFormat="1" ht="49.5">
      <c r="A47" s="157" t="s">
        <v>13</v>
      </c>
      <c r="B47" s="181" t="s">
        <v>479</v>
      </c>
      <c r="C47" s="158">
        <v>3063000000</v>
      </c>
      <c r="D47" s="158">
        <v>3062560574</v>
      </c>
      <c r="E47" s="159">
        <f t="shared" si="1"/>
        <v>0.99985653738165192</v>
      </c>
    </row>
    <row r="48" spans="1:5" s="160" customFormat="1" ht="33">
      <c r="A48" s="157" t="s">
        <v>13</v>
      </c>
      <c r="B48" s="181" t="s">
        <v>480</v>
      </c>
      <c r="C48" s="158">
        <v>1937000000</v>
      </c>
      <c r="D48" s="158">
        <v>1584463000</v>
      </c>
      <c r="E48" s="159">
        <f t="shared" si="1"/>
        <v>0.81799845121321635</v>
      </c>
    </row>
    <row r="49" spans="1:5" ht="82.5">
      <c r="A49" s="156" t="s">
        <v>29</v>
      </c>
      <c r="B49" s="153" t="s">
        <v>481</v>
      </c>
      <c r="C49" s="154">
        <f>C50</f>
        <v>1000000000</v>
      </c>
      <c r="D49" s="154">
        <f>D50</f>
        <v>1000000000</v>
      </c>
      <c r="E49" s="155">
        <f t="shared" si="1"/>
        <v>1</v>
      </c>
    </row>
    <row r="50" spans="1:5" s="160" customFormat="1" ht="33">
      <c r="A50" s="157" t="s">
        <v>13</v>
      </c>
      <c r="B50" s="181" t="s">
        <v>482</v>
      </c>
      <c r="C50" s="158">
        <v>1000000000</v>
      </c>
      <c r="D50" s="158">
        <v>1000000000</v>
      </c>
      <c r="E50" s="159">
        <f t="shared" si="1"/>
        <v>1</v>
      </c>
    </row>
    <row r="51" spans="1:5" ht="20.100000000000001" customHeight="1">
      <c r="A51" s="156" t="s">
        <v>30</v>
      </c>
      <c r="B51" s="153" t="s">
        <v>483</v>
      </c>
      <c r="C51" s="154">
        <f>SUM(C52:C55)</f>
        <v>0</v>
      </c>
      <c r="D51" s="154">
        <f>SUM(D52:D55)</f>
        <v>2590625066</v>
      </c>
      <c r="E51" s="151" t="e">
        <f t="shared" si="1"/>
        <v>#DIV/0!</v>
      </c>
    </row>
    <row r="52" spans="1:5" s="160" customFormat="1" ht="33">
      <c r="A52" s="157" t="s">
        <v>13</v>
      </c>
      <c r="B52" s="181" t="s">
        <v>486</v>
      </c>
      <c r="C52" s="158"/>
      <c r="D52" s="158">
        <v>1000000000</v>
      </c>
      <c r="E52" s="151" t="e">
        <f t="shared" si="1"/>
        <v>#DIV/0!</v>
      </c>
    </row>
    <row r="53" spans="1:5" s="160" customFormat="1" ht="33">
      <c r="A53" s="157" t="s">
        <v>13</v>
      </c>
      <c r="B53" s="181" t="s">
        <v>487</v>
      </c>
      <c r="C53" s="158"/>
      <c r="D53" s="158">
        <v>79306000</v>
      </c>
      <c r="E53" s="151"/>
    </row>
    <row r="54" spans="1:5" s="160" customFormat="1" ht="49.5">
      <c r="A54" s="157" t="s">
        <v>13</v>
      </c>
      <c r="B54" s="181" t="s">
        <v>484</v>
      </c>
      <c r="C54" s="158"/>
      <c r="D54" s="158">
        <v>1500000000</v>
      </c>
      <c r="E54" s="151"/>
    </row>
    <row r="55" spans="1:5" s="160" customFormat="1" ht="49.5">
      <c r="A55" s="157" t="s">
        <v>13</v>
      </c>
      <c r="B55" s="181" t="s">
        <v>488</v>
      </c>
      <c r="C55" s="158"/>
      <c r="D55" s="158">
        <v>11319066</v>
      </c>
      <c r="E55" s="151"/>
    </row>
    <row r="56" spans="1:5" s="147" customFormat="1" ht="20.100000000000001" customHeight="1">
      <c r="A56" s="148" t="s">
        <v>469</v>
      </c>
      <c r="B56" s="149" t="s">
        <v>470</v>
      </c>
      <c r="C56" s="150">
        <f>C57+C71</f>
        <v>32300000000</v>
      </c>
      <c r="D56" s="150">
        <f>D57+D71</f>
        <v>43161853322</v>
      </c>
      <c r="E56" s="151">
        <f t="shared" ref="E56:E57" si="2">D56/C56</f>
        <v>1.3362802886068113</v>
      </c>
    </row>
    <row r="57" spans="1:5" s="188" customFormat="1" ht="20.100000000000001" customHeight="1">
      <c r="A57" s="184" t="s">
        <v>497</v>
      </c>
      <c r="B57" s="185" t="s">
        <v>498</v>
      </c>
      <c r="C57" s="186">
        <f>SUM(C58:C70)</f>
        <v>8477000000</v>
      </c>
      <c r="D57" s="186">
        <f>SUM(D58:D70)</f>
        <v>14913186400</v>
      </c>
      <c r="E57" s="187">
        <f t="shared" si="2"/>
        <v>1.7592528488852188</v>
      </c>
    </row>
    <row r="58" spans="1:5" ht="49.5">
      <c r="A58" s="156" t="s">
        <v>11</v>
      </c>
      <c r="B58" s="153" t="s">
        <v>520</v>
      </c>
      <c r="C58" s="154">
        <v>3440000000</v>
      </c>
      <c r="D58" s="154">
        <f>3440000000+3717000000</f>
        <v>7157000000</v>
      </c>
      <c r="E58" s="155">
        <f>D58/C58</f>
        <v>2.0805232558139535</v>
      </c>
    </row>
    <row r="59" spans="1:5" ht="49.5">
      <c r="A59" s="156" t="s">
        <v>19</v>
      </c>
      <c r="B59" s="153" t="s">
        <v>521</v>
      </c>
      <c r="C59" s="154">
        <v>1782000000</v>
      </c>
      <c r="D59" s="154">
        <v>1782000000</v>
      </c>
      <c r="E59" s="155">
        <f>D59/C59</f>
        <v>1</v>
      </c>
    </row>
    <row r="60" spans="1:5" ht="49.5">
      <c r="A60" s="156" t="s">
        <v>28</v>
      </c>
      <c r="B60" s="153" t="s">
        <v>522</v>
      </c>
      <c r="C60" s="154">
        <v>400000000</v>
      </c>
      <c r="D60" s="154">
        <v>400000000</v>
      </c>
      <c r="E60" s="155">
        <f t="shared" si="0"/>
        <v>1</v>
      </c>
    </row>
    <row r="61" spans="1:5" ht="49.5">
      <c r="A61" s="156" t="s">
        <v>29</v>
      </c>
      <c r="B61" s="153" t="s">
        <v>490</v>
      </c>
      <c r="C61" s="154">
        <v>257000000</v>
      </c>
      <c r="D61" s="154">
        <v>257000000</v>
      </c>
      <c r="E61" s="155">
        <f t="shared" si="0"/>
        <v>1</v>
      </c>
    </row>
    <row r="62" spans="1:5" ht="33">
      <c r="A62" s="156" t="s">
        <v>30</v>
      </c>
      <c r="B62" s="153" t="s">
        <v>491</v>
      </c>
      <c r="C62" s="154">
        <v>10000000</v>
      </c>
      <c r="D62" s="154">
        <v>44000000</v>
      </c>
      <c r="E62" s="155">
        <f t="shared" si="0"/>
        <v>4.4000000000000004</v>
      </c>
    </row>
    <row r="63" spans="1:5" ht="33">
      <c r="A63" s="156" t="s">
        <v>31</v>
      </c>
      <c r="B63" s="153" t="s">
        <v>492</v>
      </c>
      <c r="C63" s="154">
        <v>85000000</v>
      </c>
      <c r="D63" s="154">
        <f>85000000+79000000</f>
        <v>164000000</v>
      </c>
      <c r="E63" s="155">
        <f t="shared" si="0"/>
        <v>1.9294117647058824</v>
      </c>
    </row>
    <row r="64" spans="1:5" ht="49.5">
      <c r="A64" s="156" t="s">
        <v>32</v>
      </c>
      <c r="B64" s="153" t="s">
        <v>494</v>
      </c>
      <c r="C64" s="154">
        <v>850000000</v>
      </c>
      <c r="D64" s="154">
        <f>850000000+400000000</f>
        <v>1250000000</v>
      </c>
      <c r="E64" s="155">
        <f t="shared" si="0"/>
        <v>1.4705882352941178</v>
      </c>
    </row>
    <row r="65" spans="1:5" ht="49.5">
      <c r="A65" s="156" t="s">
        <v>33</v>
      </c>
      <c r="B65" s="153" t="s">
        <v>542</v>
      </c>
      <c r="C65" s="154">
        <v>1339000000</v>
      </c>
      <c r="D65" s="154">
        <f>1835955000+94476000</f>
        <v>1930431000</v>
      </c>
      <c r="E65" s="155">
        <f t="shared" si="0"/>
        <v>1.4416960418222555</v>
      </c>
    </row>
    <row r="66" spans="1:5" ht="33">
      <c r="A66" s="156" t="s">
        <v>34</v>
      </c>
      <c r="B66" s="153" t="s">
        <v>493</v>
      </c>
      <c r="C66" s="154">
        <v>135000000</v>
      </c>
      <c r="D66" s="154">
        <v>199900000</v>
      </c>
      <c r="E66" s="155">
        <f t="shared" si="0"/>
        <v>1.4807407407407407</v>
      </c>
    </row>
    <row r="67" spans="1:5" ht="33">
      <c r="A67" s="156" t="s">
        <v>35</v>
      </c>
      <c r="B67" s="153" t="s">
        <v>495</v>
      </c>
      <c r="C67" s="154">
        <v>90000000</v>
      </c>
      <c r="D67" s="154">
        <v>90000000</v>
      </c>
      <c r="E67" s="155">
        <f t="shared" si="0"/>
        <v>1</v>
      </c>
    </row>
    <row r="68" spans="1:5" ht="33">
      <c r="A68" s="156" t="s">
        <v>36</v>
      </c>
      <c r="B68" s="161" t="s">
        <v>496</v>
      </c>
      <c r="C68" s="154">
        <v>89000000</v>
      </c>
      <c r="D68" s="154">
        <v>89000000</v>
      </c>
      <c r="E68" s="155">
        <f t="shared" si="0"/>
        <v>1</v>
      </c>
    </row>
    <row r="69" spans="1:5" ht="33">
      <c r="A69" s="156" t="s">
        <v>37</v>
      </c>
      <c r="B69" s="161" t="s">
        <v>524</v>
      </c>
      <c r="C69" s="154"/>
      <c r="D69" s="154">
        <f>1374000000-1144600</f>
        <v>1372855400</v>
      </c>
      <c r="E69" s="155"/>
    </row>
    <row r="70" spans="1:5" ht="33">
      <c r="A70" s="156" t="s">
        <v>38</v>
      </c>
      <c r="B70" s="161" t="s">
        <v>525</v>
      </c>
      <c r="C70" s="154"/>
      <c r="D70" s="154">
        <v>177000000</v>
      </c>
      <c r="E70" s="155"/>
    </row>
    <row r="71" spans="1:5" s="188" customFormat="1" ht="17.25">
      <c r="A71" s="189" t="s">
        <v>499</v>
      </c>
      <c r="B71" s="190" t="s">
        <v>500</v>
      </c>
      <c r="C71" s="186">
        <f>SUM(C72:C100)</f>
        <v>23823000000</v>
      </c>
      <c r="D71" s="186">
        <f>SUM(D72:D100)</f>
        <v>28248666922</v>
      </c>
      <c r="E71" s="187">
        <f t="shared" si="0"/>
        <v>1.1857728632833815</v>
      </c>
    </row>
    <row r="72" spans="1:5" ht="33">
      <c r="A72" s="156" t="s">
        <v>11</v>
      </c>
      <c r="B72" s="161" t="s">
        <v>501</v>
      </c>
      <c r="C72" s="154">
        <v>845000000</v>
      </c>
      <c r="D72" s="154">
        <v>845000000</v>
      </c>
      <c r="E72" s="155">
        <f t="shared" si="0"/>
        <v>1</v>
      </c>
    </row>
    <row r="73" spans="1:5" ht="49.5">
      <c r="A73" s="156" t="s">
        <v>19</v>
      </c>
      <c r="B73" s="153" t="s">
        <v>502</v>
      </c>
      <c r="C73" s="154">
        <v>549000000</v>
      </c>
      <c r="D73" s="154">
        <v>23485320</v>
      </c>
      <c r="E73" s="155">
        <f t="shared" si="0"/>
        <v>4.2778360655737702E-2</v>
      </c>
    </row>
    <row r="74" spans="1:5" ht="49.5">
      <c r="A74" s="156" t="s">
        <v>28</v>
      </c>
      <c r="B74" s="153" t="s">
        <v>489</v>
      </c>
      <c r="C74" s="154">
        <v>1047000000</v>
      </c>
      <c r="D74" s="154"/>
      <c r="E74" s="155">
        <f t="shared" si="0"/>
        <v>0</v>
      </c>
    </row>
    <row r="75" spans="1:5" ht="49.5">
      <c r="A75" s="156" t="s">
        <v>29</v>
      </c>
      <c r="B75" s="153" t="s">
        <v>503</v>
      </c>
      <c r="C75" s="154">
        <v>3938000000</v>
      </c>
      <c r="D75" s="154">
        <v>2979252525</v>
      </c>
      <c r="E75" s="155">
        <f t="shared" si="0"/>
        <v>0.7565394933976638</v>
      </c>
    </row>
    <row r="76" spans="1:5">
      <c r="A76" s="156" t="s">
        <v>30</v>
      </c>
      <c r="B76" s="153" t="s">
        <v>504</v>
      </c>
      <c r="C76" s="154">
        <v>6873000000</v>
      </c>
      <c r="D76" s="154">
        <v>6873000000</v>
      </c>
      <c r="E76" s="155">
        <f t="shared" si="0"/>
        <v>1</v>
      </c>
    </row>
    <row r="77" spans="1:5">
      <c r="A77" s="156" t="s">
        <v>31</v>
      </c>
      <c r="B77" s="153" t="s">
        <v>505</v>
      </c>
      <c r="C77" s="154">
        <v>500000000</v>
      </c>
      <c r="D77" s="154">
        <v>500000000</v>
      </c>
      <c r="E77" s="155">
        <f t="shared" si="0"/>
        <v>1</v>
      </c>
    </row>
    <row r="78" spans="1:5">
      <c r="A78" s="156" t="s">
        <v>32</v>
      </c>
      <c r="B78" s="153" t="s">
        <v>506</v>
      </c>
      <c r="C78" s="154">
        <v>1800000000</v>
      </c>
      <c r="D78" s="154">
        <f>1800000000-100390605</f>
        <v>1699609395</v>
      </c>
      <c r="E78" s="155">
        <f t="shared" ref="E78:E91" si="3">D78/C78</f>
        <v>0.94422744166666661</v>
      </c>
    </row>
    <row r="79" spans="1:5" ht="33">
      <c r="A79" s="156" t="s">
        <v>33</v>
      </c>
      <c r="B79" s="153" t="s">
        <v>507</v>
      </c>
      <c r="C79" s="154">
        <v>300000000</v>
      </c>
      <c r="D79" s="154">
        <v>167689600</v>
      </c>
      <c r="E79" s="155">
        <f t="shared" si="3"/>
        <v>0.55896533333333331</v>
      </c>
    </row>
    <row r="80" spans="1:5" ht="33">
      <c r="A80" s="156" t="s">
        <v>34</v>
      </c>
      <c r="B80" s="153" t="s">
        <v>508</v>
      </c>
      <c r="C80" s="154">
        <v>34000000</v>
      </c>
      <c r="D80" s="154">
        <v>34000000</v>
      </c>
      <c r="E80" s="155">
        <f t="shared" si="3"/>
        <v>1</v>
      </c>
    </row>
    <row r="81" spans="1:6" ht="66">
      <c r="A81" s="156" t="s">
        <v>35</v>
      </c>
      <c r="B81" s="153" t="s">
        <v>509</v>
      </c>
      <c r="C81" s="154">
        <v>280000000</v>
      </c>
      <c r="D81" s="154">
        <v>280000000</v>
      </c>
      <c r="E81" s="155">
        <f t="shared" si="3"/>
        <v>1</v>
      </c>
    </row>
    <row r="82" spans="1:6" ht="33">
      <c r="A82" s="156" t="s">
        <v>36</v>
      </c>
      <c r="B82" s="153" t="s">
        <v>510</v>
      </c>
      <c r="C82" s="154">
        <v>413000000</v>
      </c>
      <c r="D82" s="154">
        <v>413000000</v>
      </c>
      <c r="E82" s="155">
        <f t="shared" si="3"/>
        <v>1</v>
      </c>
    </row>
    <row r="83" spans="1:6">
      <c r="A83" s="156" t="s">
        <v>37</v>
      </c>
      <c r="B83" s="153" t="s">
        <v>511</v>
      </c>
      <c r="C83" s="154">
        <v>330000000</v>
      </c>
      <c r="D83" s="154">
        <f>330000000-134671096</f>
        <v>195328904</v>
      </c>
      <c r="E83" s="155">
        <f t="shared" si="3"/>
        <v>0.59190576969696973</v>
      </c>
    </row>
    <row r="84" spans="1:6" ht="33">
      <c r="A84" s="156" t="s">
        <v>38</v>
      </c>
      <c r="B84" s="153" t="s">
        <v>512</v>
      </c>
      <c r="C84" s="154">
        <v>110000000</v>
      </c>
      <c r="D84" s="154">
        <v>110000000</v>
      </c>
      <c r="E84" s="155">
        <f t="shared" si="3"/>
        <v>1</v>
      </c>
    </row>
    <row r="85" spans="1:6">
      <c r="A85" s="156" t="s">
        <v>39</v>
      </c>
      <c r="B85" s="153" t="s">
        <v>513</v>
      </c>
      <c r="C85" s="154">
        <v>2000000000</v>
      </c>
      <c r="D85" s="154">
        <f>C85-90891922</f>
        <v>1909108078</v>
      </c>
      <c r="E85" s="155">
        <f t="shared" si="3"/>
        <v>0.95455403900000002</v>
      </c>
    </row>
    <row r="86" spans="1:6" ht="66">
      <c r="A86" s="156" t="s">
        <v>40</v>
      </c>
      <c r="B86" s="153" t="s">
        <v>514</v>
      </c>
      <c r="C86" s="154">
        <v>90000000</v>
      </c>
      <c r="D86" s="154">
        <v>63550000</v>
      </c>
      <c r="E86" s="155">
        <f t="shared" si="3"/>
        <v>0.70611111111111113</v>
      </c>
    </row>
    <row r="87" spans="1:6" ht="33">
      <c r="A87" s="156" t="s">
        <v>41</v>
      </c>
      <c r="B87" s="153" t="s">
        <v>515</v>
      </c>
      <c r="C87" s="154">
        <v>400000000</v>
      </c>
      <c r="D87" s="154">
        <v>400000000</v>
      </c>
      <c r="E87" s="155">
        <f t="shared" si="3"/>
        <v>1</v>
      </c>
    </row>
    <row r="88" spans="1:6">
      <c r="A88" s="156" t="s">
        <v>71</v>
      </c>
      <c r="B88" s="153" t="s">
        <v>516</v>
      </c>
      <c r="C88" s="154">
        <v>1100000000</v>
      </c>
      <c r="D88" s="154">
        <v>1415000000</v>
      </c>
      <c r="E88" s="155">
        <f t="shared" si="3"/>
        <v>1.2863636363636364</v>
      </c>
    </row>
    <row r="89" spans="1:6">
      <c r="A89" s="156" t="s">
        <v>72</v>
      </c>
      <c r="B89" s="153" t="s">
        <v>519</v>
      </c>
      <c r="C89" s="154">
        <v>1200000000</v>
      </c>
      <c r="D89" s="154">
        <v>988000000</v>
      </c>
      <c r="E89" s="155">
        <f t="shared" ref="E89" si="4">D89/C89</f>
        <v>0.82333333333333336</v>
      </c>
    </row>
    <row r="90" spans="1:6" ht="33">
      <c r="A90" s="156" t="s">
        <v>73</v>
      </c>
      <c r="B90" s="153" t="s">
        <v>517</v>
      </c>
      <c r="C90" s="154">
        <v>224000000</v>
      </c>
      <c r="D90" s="154">
        <v>187200000</v>
      </c>
      <c r="E90" s="155">
        <f t="shared" si="3"/>
        <v>0.83571428571428574</v>
      </c>
      <c r="F90" s="191">
        <f>C90-D90</f>
        <v>36800000</v>
      </c>
    </row>
    <row r="91" spans="1:6" ht="49.5">
      <c r="A91" s="156" t="s">
        <v>74</v>
      </c>
      <c r="B91" s="153" t="s">
        <v>518</v>
      </c>
      <c r="C91" s="154">
        <v>1790000000</v>
      </c>
      <c r="D91" s="154">
        <f>C91-12928900</f>
        <v>1777071100</v>
      </c>
      <c r="E91" s="155">
        <f t="shared" si="3"/>
        <v>0.99277715083798879</v>
      </c>
    </row>
    <row r="92" spans="1:6" ht="33">
      <c r="A92" s="156" t="s">
        <v>76</v>
      </c>
      <c r="B92" s="153" t="s">
        <v>523</v>
      </c>
      <c r="C92" s="154"/>
      <c r="D92" s="154">
        <v>1670000000</v>
      </c>
      <c r="E92" s="155"/>
    </row>
    <row r="93" spans="1:6" ht="33">
      <c r="A93" s="156" t="s">
        <v>77</v>
      </c>
      <c r="B93" s="153" t="s">
        <v>526</v>
      </c>
      <c r="C93" s="154"/>
      <c r="D93" s="154">
        <v>487884000</v>
      </c>
      <c r="E93" s="155"/>
    </row>
    <row r="94" spans="1:6" ht="33">
      <c r="A94" s="156" t="s">
        <v>78</v>
      </c>
      <c r="B94" s="153" t="s">
        <v>528</v>
      </c>
      <c r="C94" s="154"/>
      <c r="D94" s="154">
        <v>414920000</v>
      </c>
      <c r="E94" s="155"/>
    </row>
    <row r="95" spans="1:6" ht="33">
      <c r="A95" s="156" t="s">
        <v>79</v>
      </c>
      <c r="B95" s="153" t="s">
        <v>527</v>
      </c>
      <c r="C95" s="154"/>
      <c r="D95" s="154">
        <v>96428000</v>
      </c>
      <c r="E95" s="155"/>
    </row>
    <row r="96" spans="1:6" ht="33">
      <c r="A96" s="156" t="s">
        <v>80</v>
      </c>
      <c r="B96" s="153" t="s">
        <v>529</v>
      </c>
      <c r="C96" s="154"/>
      <c r="D96" s="154">
        <v>480800000</v>
      </c>
      <c r="E96" s="155"/>
    </row>
    <row r="97" spans="1:5" ht="66">
      <c r="A97" s="156" t="s">
        <v>81</v>
      </c>
      <c r="B97" s="153" t="s">
        <v>530</v>
      </c>
      <c r="C97" s="154"/>
      <c r="D97" s="154">
        <v>600000000</v>
      </c>
      <c r="E97" s="155"/>
    </row>
    <row r="98" spans="1:5" ht="33">
      <c r="A98" s="156" t="s">
        <v>141</v>
      </c>
      <c r="B98" s="153" t="s">
        <v>531</v>
      </c>
      <c r="C98" s="154"/>
      <c r="D98" s="154">
        <v>24000000</v>
      </c>
      <c r="E98" s="155"/>
    </row>
    <row r="99" spans="1:5" ht="49.5">
      <c r="A99" s="156" t="s">
        <v>142</v>
      </c>
      <c r="B99" s="153" t="s">
        <v>532</v>
      </c>
      <c r="C99" s="154"/>
      <c r="D99" s="154">
        <v>255000000</v>
      </c>
      <c r="E99" s="155"/>
    </row>
    <row r="100" spans="1:5">
      <c r="A100" s="156" t="s">
        <v>143</v>
      </c>
      <c r="B100" s="153" t="s">
        <v>533</v>
      </c>
      <c r="C100" s="154"/>
      <c r="D100" s="154">
        <v>3359340000</v>
      </c>
      <c r="E100" s="155"/>
    </row>
    <row r="101" spans="1:5" s="147" customFormat="1" ht="20.100000000000001" customHeight="1">
      <c r="A101" s="148" t="s">
        <v>42</v>
      </c>
      <c r="B101" s="149" t="s">
        <v>43</v>
      </c>
      <c r="C101" s="150"/>
      <c r="D101" s="150">
        <v>89824758156</v>
      </c>
      <c r="E101" s="151"/>
    </row>
    <row r="102" spans="1:5" s="147" customFormat="1" ht="20.100000000000001" customHeight="1">
      <c r="A102" s="162" t="s">
        <v>190</v>
      </c>
      <c r="B102" s="163" t="s">
        <v>284</v>
      </c>
      <c r="C102" s="164"/>
      <c r="D102" s="164">
        <v>12296108112</v>
      </c>
      <c r="E102" s="165"/>
    </row>
    <row r="103" spans="1:5" ht="6" customHeight="1">
      <c r="A103" s="141" t="s">
        <v>0</v>
      </c>
    </row>
    <row r="104" spans="1:5" s="166" customFormat="1" ht="39.75" customHeight="1">
      <c r="A104" s="373" t="s">
        <v>449</v>
      </c>
      <c r="B104" s="373"/>
      <c r="C104" s="373"/>
      <c r="D104" s="373"/>
      <c r="E104" s="373"/>
    </row>
    <row r="105" spans="1:5">
      <c r="A105" s="369"/>
      <c r="B105" s="369"/>
      <c r="C105" s="369"/>
    </row>
  </sheetData>
  <mergeCells count="5">
    <mergeCell ref="A105:C105"/>
    <mergeCell ref="A3:E3"/>
    <mergeCell ref="A4:E4"/>
    <mergeCell ref="A6:E6"/>
    <mergeCell ref="A104:E104"/>
  </mergeCells>
  <phoneticPr fontId="30" type="noConversion"/>
  <pageMargins left="0.74" right="0.33" top="0.75" bottom="0.62" header="0.3" footer="0.3"/>
  <pageSetup paperSize="9" scale="80" orientation="portrait" verticalDpi="0" r:id="rId1"/>
  <headerFooter>
    <oddFooter>&amp;C&amp;12&amp;P/&amp;N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0"/>
  <sheetViews>
    <sheetView showGridLines="0" showZeros="0" topLeftCell="A7" zoomScaleNormal="100" workbookViewId="0">
      <selection activeCell="D12" sqref="D12"/>
    </sheetView>
  </sheetViews>
  <sheetFormatPr defaultRowHeight="16.5"/>
  <cols>
    <col min="1" max="1" width="6.28515625" style="196" customWidth="1"/>
    <col min="2" max="2" width="33.140625" style="196" customWidth="1"/>
    <col min="3" max="3" width="18.7109375" style="196" customWidth="1"/>
    <col min="4" max="4" width="19.85546875" style="196" customWidth="1"/>
    <col min="5" max="5" width="18.85546875" style="196" customWidth="1"/>
    <col min="6" max="6" width="13.42578125" style="196" customWidth="1"/>
    <col min="7" max="7" width="20.85546875" style="237" customWidth="1"/>
    <col min="8" max="8" width="19.42578125" style="237" customWidth="1"/>
    <col min="9" max="9" width="20.85546875" style="238" customWidth="1"/>
    <col min="10" max="10" width="18" style="239" customWidth="1"/>
    <col min="11" max="11" width="19.140625" style="239" customWidth="1"/>
    <col min="12" max="12" width="19" style="244" customWidth="1"/>
    <col min="13" max="16384" width="9.140625" style="196"/>
  </cols>
  <sheetData>
    <row r="1" spans="1:12" s="235" customFormat="1">
      <c r="A1" s="234" t="s">
        <v>279</v>
      </c>
      <c r="F1" s="236"/>
      <c r="G1" s="237"/>
      <c r="H1" s="237"/>
      <c r="I1" s="238"/>
      <c r="J1" s="239"/>
      <c r="K1" s="239"/>
      <c r="L1" s="240"/>
    </row>
    <row r="2" spans="1:12" s="235" customFormat="1">
      <c r="A2" s="241" t="s">
        <v>0</v>
      </c>
      <c r="G2" s="237"/>
      <c r="H2" s="237"/>
      <c r="I2" s="238"/>
      <c r="J2" s="239"/>
      <c r="K2" s="239"/>
      <c r="L2" s="240"/>
    </row>
    <row r="3" spans="1:12" s="235" customFormat="1" ht="18.75">
      <c r="A3" s="376" t="s">
        <v>534</v>
      </c>
      <c r="B3" s="376"/>
      <c r="C3" s="376"/>
      <c r="D3" s="376"/>
      <c r="E3" s="376"/>
      <c r="F3" s="376"/>
      <c r="G3" s="237"/>
      <c r="H3" s="237"/>
      <c r="I3" s="238"/>
      <c r="J3" s="239"/>
      <c r="K3" s="239"/>
      <c r="L3" s="240"/>
    </row>
    <row r="4" spans="1:12" s="235" customFormat="1" ht="23.25" customHeight="1">
      <c r="A4" s="377" t="s">
        <v>549</v>
      </c>
      <c r="B4" s="377"/>
      <c r="C4" s="377"/>
      <c r="D4" s="377"/>
      <c r="E4" s="377"/>
      <c r="F4" s="377"/>
      <c r="G4" s="237"/>
      <c r="H4" s="237"/>
      <c r="I4" s="238"/>
      <c r="J4" s="239"/>
      <c r="K4" s="239"/>
      <c r="L4" s="240"/>
    </row>
    <row r="5" spans="1:12" s="235" customFormat="1">
      <c r="A5" s="241" t="s">
        <v>0</v>
      </c>
      <c r="G5" s="237"/>
      <c r="H5" s="237"/>
      <c r="I5" s="238"/>
      <c r="J5" s="239"/>
      <c r="K5" s="239"/>
      <c r="L5" s="240"/>
    </row>
    <row r="6" spans="1:12" ht="22.5" customHeight="1">
      <c r="A6" s="242" t="s">
        <v>0</v>
      </c>
      <c r="F6" s="243" t="s">
        <v>1</v>
      </c>
    </row>
    <row r="7" spans="1:12" ht="20.25" customHeight="1">
      <c r="A7" s="378" t="s">
        <v>166</v>
      </c>
      <c r="B7" s="378" t="s">
        <v>44</v>
      </c>
      <c r="C7" s="378" t="s">
        <v>539</v>
      </c>
      <c r="D7" s="378" t="s">
        <v>457</v>
      </c>
      <c r="E7" s="378" t="s">
        <v>286</v>
      </c>
      <c r="F7" s="378"/>
    </row>
    <row r="8" spans="1:12" ht="36" customHeight="1">
      <c r="A8" s="378"/>
      <c r="B8" s="378"/>
      <c r="C8" s="378"/>
      <c r="D8" s="378"/>
      <c r="E8" s="245" t="s">
        <v>168</v>
      </c>
      <c r="F8" s="245" t="s">
        <v>285</v>
      </c>
    </row>
    <row r="9" spans="1:12">
      <c r="A9" s="245" t="s">
        <v>7</v>
      </c>
      <c r="B9" s="245" t="s">
        <v>24</v>
      </c>
      <c r="C9" s="245">
        <v>1</v>
      </c>
      <c r="D9" s="245">
        <v>2</v>
      </c>
      <c r="E9" s="245" t="s">
        <v>170</v>
      </c>
      <c r="F9" s="245" t="s">
        <v>171</v>
      </c>
    </row>
    <row r="10" spans="1:12" ht="24.75" customHeight="1">
      <c r="A10" s="246"/>
      <c r="B10" s="247" t="s">
        <v>45</v>
      </c>
      <c r="C10" s="248">
        <f>C11+C12+C47+C48</f>
        <v>341393000000</v>
      </c>
      <c r="D10" s="248">
        <f>D11+D12+D47+D48</f>
        <v>455937195771</v>
      </c>
      <c r="E10" s="248">
        <f>E11+E12+E47+E48</f>
        <v>114544195771</v>
      </c>
      <c r="F10" s="249">
        <f>D10/C10</f>
        <v>1.3355200480706986</v>
      </c>
    </row>
    <row r="11" spans="1:12" s="258" customFormat="1" ht="39.950000000000003" customHeight="1">
      <c r="A11" s="250" t="s">
        <v>7</v>
      </c>
      <c r="B11" s="251" t="s">
        <v>280</v>
      </c>
      <c r="C11" s="252">
        <f>62252000000-1560000000</f>
        <v>60692000000</v>
      </c>
      <c r="D11" s="252">
        <v>69006363157</v>
      </c>
      <c r="E11" s="252">
        <f>D11-C11</f>
        <v>8314363157</v>
      </c>
      <c r="F11" s="253">
        <f>D11/C11</f>
        <v>1.1369927363902985</v>
      </c>
      <c r="G11" s="254"/>
      <c r="H11" s="254"/>
      <c r="I11" s="255"/>
      <c r="J11" s="256"/>
      <c r="K11" s="256"/>
      <c r="L11" s="257"/>
    </row>
    <row r="12" spans="1:12" s="258" customFormat="1" ht="39.950000000000003" customHeight="1">
      <c r="A12" s="250" t="s">
        <v>24</v>
      </c>
      <c r="B12" s="251" t="s">
        <v>281</v>
      </c>
      <c r="C12" s="252">
        <f>C13+C29+C43+C44+C45+C46</f>
        <v>280701000000</v>
      </c>
      <c r="D12" s="252">
        <f>D13+D29+D43+D44+D45+D46</f>
        <v>294345412317</v>
      </c>
      <c r="E12" s="252">
        <f>E13+E29+E43+E44+E45+E46</f>
        <v>13644412317</v>
      </c>
      <c r="F12" s="253">
        <f t="shared" ref="F12:F42" si="0">D12/C12</f>
        <v>1.0486083495142517</v>
      </c>
      <c r="G12" s="259"/>
      <c r="H12" s="259"/>
      <c r="I12" s="260"/>
      <c r="J12" s="256"/>
      <c r="K12" s="256"/>
      <c r="L12" s="257"/>
    </row>
    <row r="13" spans="1:12" ht="21.95" customHeight="1">
      <c r="A13" s="250" t="s">
        <v>9</v>
      </c>
      <c r="B13" s="251" t="s">
        <v>10</v>
      </c>
      <c r="C13" s="252">
        <f>C14+C28</f>
        <v>31790000000</v>
      </c>
      <c r="D13" s="252">
        <f>D14+D28</f>
        <v>28727053752</v>
      </c>
      <c r="E13" s="252">
        <f>E14+E28</f>
        <v>-3062946248</v>
      </c>
      <c r="F13" s="253">
        <f t="shared" si="0"/>
        <v>0.90365063705567794</v>
      </c>
      <c r="G13" s="254"/>
      <c r="H13" s="254"/>
      <c r="I13" s="254"/>
    </row>
    <row r="14" spans="1:12" ht="21.95" customHeight="1">
      <c r="A14" s="192" t="s">
        <v>11</v>
      </c>
      <c r="B14" s="193" t="s">
        <v>12</v>
      </c>
      <c r="C14" s="261">
        <f>SUM(C15:C27)</f>
        <v>30000000000</v>
      </c>
      <c r="D14" s="261">
        <f t="shared" ref="D14" si="1">SUM(D15:D27)</f>
        <v>28727053752</v>
      </c>
      <c r="E14" s="261">
        <f>SUM(E15:E27)</f>
        <v>-1272946248</v>
      </c>
      <c r="F14" s="262">
        <f t="shared" si="0"/>
        <v>0.95756845840000004</v>
      </c>
      <c r="I14" s="237"/>
    </row>
    <row r="15" spans="1:12" ht="39.950000000000003" customHeight="1">
      <c r="A15" s="192" t="s">
        <v>13</v>
      </c>
      <c r="B15" s="193" t="s">
        <v>14</v>
      </c>
      <c r="C15" s="261">
        <v>5567000000</v>
      </c>
      <c r="D15" s="261">
        <v>8554685638</v>
      </c>
      <c r="E15" s="261">
        <f>D15-C15</f>
        <v>2987685638</v>
      </c>
      <c r="F15" s="262">
        <f t="shared" si="0"/>
        <v>1.5366778584515897</v>
      </c>
      <c r="I15" s="237"/>
    </row>
    <row r="16" spans="1:12" ht="21.95" customHeight="1">
      <c r="A16" s="192" t="s">
        <v>13</v>
      </c>
      <c r="B16" s="193" t="s">
        <v>15</v>
      </c>
      <c r="C16" s="261"/>
      <c r="D16" s="261"/>
      <c r="E16" s="261"/>
      <c r="F16" s="262"/>
      <c r="I16" s="237"/>
    </row>
    <row r="17" spans="1:12" ht="21.95" customHeight="1">
      <c r="A17" s="192" t="s">
        <v>13</v>
      </c>
      <c r="B17" s="193" t="s">
        <v>47</v>
      </c>
      <c r="C17" s="261"/>
      <c r="D17" s="261"/>
      <c r="E17" s="261"/>
      <c r="F17" s="262"/>
      <c r="I17" s="237"/>
    </row>
    <row r="18" spans="1:12" ht="39.950000000000003" customHeight="1">
      <c r="A18" s="192" t="s">
        <v>13</v>
      </c>
      <c r="B18" s="193" t="s">
        <v>48</v>
      </c>
      <c r="C18" s="261"/>
      <c r="D18" s="261"/>
      <c r="E18" s="261"/>
      <c r="F18" s="262"/>
      <c r="I18" s="237"/>
    </row>
    <row r="19" spans="1:12" ht="21.95" customHeight="1">
      <c r="A19" s="192" t="s">
        <v>13</v>
      </c>
      <c r="B19" s="193" t="s">
        <v>49</v>
      </c>
      <c r="C19" s="261"/>
      <c r="D19" s="261"/>
      <c r="E19" s="261"/>
      <c r="F19" s="262"/>
      <c r="I19" s="237"/>
    </row>
    <row r="20" spans="1:12" ht="21.95" customHeight="1">
      <c r="A20" s="192" t="s">
        <v>13</v>
      </c>
      <c r="B20" s="193" t="s">
        <v>50</v>
      </c>
      <c r="C20" s="261"/>
      <c r="D20" s="261">
        <v>42463915</v>
      </c>
      <c r="E20" s="261">
        <f t="shared" ref="E20:E28" si="2">D20-C20</f>
        <v>42463915</v>
      </c>
      <c r="F20" s="262"/>
      <c r="I20" s="237"/>
    </row>
    <row r="21" spans="1:12" ht="39.950000000000003" customHeight="1">
      <c r="A21" s="192" t="s">
        <v>13</v>
      </c>
      <c r="B21" s="193" t="s">
        <v>51</v>
      </c>
      <c r="C21" s="261">
        <v>1937000000</v>
      </c>
      <c r="D21" s="261">
        <v>1584463000</v>
      </c>
      <c r="E21" s="261">
        <f t="shared" si="2"/>
        <v>-352537000</v>
      </c>
      <c r="F21" s="262"/>
      <c r="I21" s="237"/>
    </row>
    <row r="22" spans="1:12" ht="21.95" customHeight="1">
      <c r="A22" s="192" t="s">
        <v>13</v>
      </c>
      <c r="B22" s="193" t="s">
        <v>52</v>
      </c>
      <c r="C22" s="261"/>
      <c r="D22" s="261"/>
      <c r="E22" s="261"/>
      <c r="F22" s="262"/>
      <c r="I22" s="237"/>
    </row>
    <row r="23" spans="1:12" ht="21.95" customHeight="1">
      <c r="A23" s="192" t="s">
        <v>13</v>
      </c>
      <c r="B23" s="193" t="s">
        <v>53</v>
      </c>
      <c r="C23" s="261"/>
      <c r="D23" s="261"/>
      <c r="E23" s="261"/>
      <c r="F23" s="262"/>
      <c r="I23" s="237"/>
    </row>
    <row r="24" spans="1:12" ht="21.95" customHeight="1">
      <c r="A24" s="192" t="s">
        <v>13</v>
      </c>
      <c r="B24" s="193" t="s">
        <v>54</v>
      </c>
      <c r="C24" s="261">
        <v>9112000000</v>
      </c>
      <c r="D24" s="261">
        <v>16958619001</v>
      </c>
      <c r="E24" s="261">
        <f t="shared" si="2"/>
        <v>7846619001</v>
      </c>
      <c r="F24" s="262">
        <f t="shared" si="0"/>
        <v>1.8611302678884987</v>
      </c>
      <c r="I24" s="237"/>
    </row>
    <row r="25" spans="1:12" ht="39.950000000000003" customHeight="1">
      <c r="A25" s="192" t="s">
        <v>13</v>
      </c>
      <c r="B25" s="193" t="s">
        <v>55</v>
      </c>
      <c r="C25" s="261">
        <v>13384000000</v>
      </c>
      <c r="D25" s="261">
        <v>1586822198</v>
      </c>
      <c r="E25" s="261">
        <f t="shared" si="2"/>
        <v>-11797177802</v>
      </c>
      <c r="F25" s="262">
        <f t="shared" si="0"/>
        <v>0.11856113254632397</v>
      </c>
      <c r="I25" s="237"/>
    </row>
    <row r="26" spans="1:12" ht="21.95" customHeight="1">
      <c r="A26" s="192" t="s">
        <v>13</v>
      </c>
      <c r="B26" s="193" t="s">
        <v>56</v>
      </c>
      <c r="C26" s="261"/>
      <c r="D26" s="261"/>
      <c r="E26" s="261"/>
      <c r="F26" s="262"/>
      <c r="I26" s="237"/>
    </row>
    <row r="27" spans="1:12" ht="21.95" customHeight="1">
      <c r="A27" s="192" t="s">
        <v>13</v>
      </c>
      <c r="B27" s="193" t="s">
        <v>57</v>
      </c>
      <c r="C27" s="261"/>
      <c r="D27" s="261"/>
      <c r="E27" s="261"/>
      <c r="F27" s="262"/>
      <c r="I27" s="237"/>
      <c r="L27" s="374"/>
    </row>
    <row r="28" spans="1:12" ht="21.95" customHeight="1">
      <c r="A28" s="192">
        <v>2</v>
      </c>
      <c r="B28" s="193" t="s">
        <v>58</v>
      </c>
      <c r="C28" s="261">
        <v>1790000000</v>
      </c>
      <c r="D28" s="261"/>
      <c r="E28" s="261">
        <f t="shared" si="2"/>
        <v>-1790000000</v>
      </c>
      <c r="F28" s="262">
        <f t="shared" si="0"/>
        <v>0</v>
      </c>
      <c r="G28" s="259"/>
      <c r="H28" s="259"/>
      <c r="I28" s="255"/>
      <c r="J28" s="263"/>
      <c r="K28" s="263"/>
      <c r="L28" s="374"/>
    </row>
    <row r="29" spans="1:12" ht="21.95" customHeight="1">
      <c r="A29" s="250" t="s">
        <v>17</v>
      </c>
      <c r="B29" s="251" t="s">
        <v>18</v>
      </c>
      <c r="C29" s="252">
        <f>SUM(C30:C42)</f>
        <v>240925000000</v>
      </c>
      <c r="D29" s="252">
        <f t="shared" ref="D29:E29" si="3">SUM(D30:D42)</f>
        <v>265618358565</v>
      </c>
      <c r="E29" s="252">
        <f t="shared" si="3"/>
        <v>24693358565</v>
      </c>
      <c r="F29" s="253">
        <f t="shared" si="0"/>
        <v>1.1024939651966379</v>
      </c>
      <c r="G29" s="254"/>
      <c r="H29" s="254"/>
      <c r="I29" s="254"/>
      <c r="J29" s="254"/>
      <c r="K29" s="254"/>
    </row>
    <row r="30" spans="1:12" ht="39.950000000000003" customHeight="1">
      <c r="A30" s="264" t="s">
        <v>11</v>
      </c>
      <c r="B30" s="193" t="s">
        <v>14</v>
      </c>
      <c r="C30" s="261">
        <v>175984000000</v>
      </c>
      <c r="D30" s="261">
        <v>183287754499</v>
      </c>
      <c r="E30" s="261">
        <f>D30-C30</f>
        <v>7303754499</v>
      </c>
      <c r="F30" s="262">
        <f t="shared" si="0"/>
        <v>1.0415023780514137</v>
      </c>
      <c r="G30" s="265"/>
      <c r="I30" s="237"/>
    </row>
    <row r="31" spans="1:12" ht="21.95" customHeight="1">
      <c r="A31" s="264" t="s">
        <v>19</v>
      </c>
      <c r="B31" s="193" t="s">
        <v>15</v>
      </c>
      <c r="C31" s="261">
        <v>150000000</v>
      </c>
      <c r="D31" s="261">
        <v>148409000</v>
      </c>
      <c r="E31" s="261">
        <f t="shared" ref="E31:E42" si="4">D31-C31</f>
        <v>-1591000</v>
      </c>
      <c r="F31" s="262">
        <f t="shared" si="0"/>
        <v>0.98939333333333335</v>
      </c>
      <c r="G31" s="265"/>
      <c r="I31" s="237"/>
    </row>
    <row r="32" spans="1:12" ht="21.95" customHeight="1">
      <c r="A32" s="264" t="s">
        <v>28</v>
      </c>
      <c r="B32" s="193" t="s">
        <v>535</v>
      </c>
      <c r="C32" s="261">
        <v>437000000</v>
      </c>
      <c r="D32" s="261">
        <v>532041750</v>
      </c>
      <c r="E32" s="261">
        <f t="shared" si="4"/>
        <v>95041750</v>
      </c>
      <c r="F32" s="262">
        <f t="shared" si="0"/>
        <v>1.2174868421052631</v>
      </c>
      <c r="G32" s="265"/>
      <c r="I32" s="237"/>
    </row>
    <row r="33" spans="1:12" ht="21.95" customHeight="1">
      <c r="A33" s="264" t="s">
        <v>29</v>
      </c>
      <c r="B33" s="193" t="s">
        <v>50</v>
      </c>
      <c r="C33" s="261">
        <v>1416000000</v>
      </c>
      <c r="D33" s="261">
        <v>1429413530</v>
      </c>
      <c r="E33" s="261">
        <f t="shared" si="4"/>
        <v>13413530</v>
      </c>
      <c r="F33" s="262">
        <f t="shared" si="0"/>
        <v>1.0094728319209039</v>
      </c>
      <c r="G33" s="265"/>
      <c r="I33" s="237"/>
    </row>
    <row r="34" spans="1:12" ht="39.950000000000003" customHeight="1">
      <c r="A34" s="264" t="s">
        <v>30</v>
      </c>
      <c r="B34" s="193" t="s">
        <v>51</v>
      </c>
      <c r="C34" s="261">
        <v>1114000000</v>
      </c>
      <c r="D34" s="261">
        <v>2042782825</v>
      </c>
      <c r="E34" s="261">
        <f t="shared" si="4"/>
        <v>928782825</v>
      </c>
      <c r="F34" s="262">
        <f t="shared" si="0"/>
        <v>1.8337368267504488</v>
      </c>
      <c r="G34" s="265"/>
      <c r="I34" s="237"/>
    </row>
    <row r="35" spans="1:12" ht="21.95" customHeight="1">
      <c r="A35" s="264" t="s">
        <v>31</v>
      </c>
      <c r="B35" s="193" t="s">
        <v>52</v>
      </c>
      <c r="C35" s="261">
        <v>525000000</v>
      </c>
      <c r="D35" s="261">
        <v>93124400</v>
      </c>
      <c r="E35" s="261">
        <f t="shared" si="4"/>
        <v>-431875600</v>
      </c>
      <c r="F35" s="262">
        <f t="shared" si="0"/>
        <v>0.17737980952380952</v>
      </c>
      <c r="G35" s="265"/>
      <c r="I35" s="237"/>
    </row>
    <row r="36" spans="1:12" ht="21.95" customHeight="1">
      <c r="A36" s="264" t="s">
        <v>32</v>
      </c>
      <c r="B36" s="193" t="s">
        <v>53</v>
      </c>
      <c r="C36" s="261">
        <v>583000000</v>
      </c>
      <c r="D36" s="261">
        <v>1037197479</v>
      </c>
      <c r="E36" s="261">
        <f t="shared" si="4"/>
        <v>454197479</v>
      </c>
      <c r="F36" s="262">
        <f t="shared" si="0"/>
        <v>1.7790694322469982</v>
      </c>
      <c r="G36" s="265"/>
      <c r="I36" s="237"/>
    </row>
    <row r="37" spans="1:12" ht="21.95" customHeight="1">
      <c r="A37" s="264" t="s">
        <v>33</v>
      </c>
      <c r="B37" s="193" t="s">
        <v>54</v>
      </c>
      <c r="C37" s="261">
        <v>15021000000</v>
      </c>
      <c r="D37" s="261">
        <v>18765332541</v>
      </c>
      <c r="E37" s="261">
        <f t="shared" si="4"/>
        <v>3744332541</v>
      </c>
      <c r="F37" s="262">
        <f t="shared" si="0"/>
        <v>1.2492731869382865</v>
      </c>
      <c r="G37" s="265"/>
      <c r="I37" s="237"/>
    </row>
    <row r="38" spans="1:12" ht="39.950000000000003" customHeight="1">
      <c r="A38" s="264" t="s">
        <v>34</v>
      </c>
      <c r="B38" s="193" t="s">
        <v>55</v>
      </c>
      <c r="C38" s="261">
        <v>28951000000</v>
      </c>
      <c r="D38" s="261">
        <v>33955429897</v>
      </c>
      <c r="E38" s="261">
        <f t="shared" si="4"/>
        <v>5004429897</v>
      </c>
      <c r="F38" s="262">
        <f t="shared" si="0"/>
        <v>1.1728586196331734</v>
      </c>
      <c r="G38" s="265"/>
      <c r="I38" s="237"/>
    </row>
    <row r="39" spans="1:12" ht="21.95" customHeight="1">
      <c r="A39" s="264" t="s">
        <v>35</v>
      </c>
      <c r="B39" s="193" t="s">
        <v>536</v>
      </c>
      <c r="C39" s="261">
        <v>1632000000</v>
      </c>
      <c r="D39" s="261">
        <v>1645675000</v>
      </c>
      <c r="E39" s="261">
        <f t="shared" si="4"/>
        <v>13675000</v>
      </c>
      <c r="F39" s="262">
        <f t="shared" si="0"/>
        <v>1.0083792892156862</v>
      </c>
      <c r="I39" s="237"/>
    </row>
    <row r="40" spans="1:12" ht="21.95" customHeight="1">
      <c r="A40" s="264" t="s">
        <v>36</v>
      </c>
      <c r="B40" s="193" t="s">
        <v>537</v>
      </c>
      <c r="C40" s="261">
        <v>4877000000</v>
      </c>
      <c r="D40" s="261">
        <v>7439733109</v>
      </c>
      <c r="E40" s="261">
        <f t="shared" si="4"/>
        <v>2562733109</v>
      </c>
      <c r="F40" s="262">
        <f t="shared" si="0"/>
        <v>1.5254732640967807</v>
      </c>
      <c r="G40" s="265"/>
      <c r="I40" s="237"/>
    </row>
    <row r="41" spans="1:12" ht="21.95" customHeight="1">
      <c r="A41" s="264" t="s">
        <v>37</v>
      </c>
      <c r="B41" s="193" t="s">
        <v>56</v>
      </c>
      <c r="C41" s="261">
        <v>8088000000</v>
      </c>
      <c r="D41" s="261">
        <v>12352769000</v>
      </c>
      <c r="E41" s="261">
        <f t="shared" si="4"/>
        <v>4264769000</v>
      </c>
      <c r="F41" s="262">
        <f t="shared" si="0"/>
        <v>1.5272958704253214</v>
      </c>
      <c r="G41" s="265"/>
      <c r="I41" s="237"/>
    </row>
    <row r="42" spans="1:12" ht="21.95" customHeight="1">
      <c r="A42" s="264" t="s">
        <v>38</v>
      </c>
      <c r="B42" s="193" t="s">
        <v>538</v>
      </c>
      <c r="C42" s="261">
        <v>2147000000</v>
      </c>
      <c r="D42" s="261">
        <v>2888695535</v>
      </c>
      <c r="E42" s="261">
        <f t="shared" si="4"/>
        <v>741695535</v>
      </c>
      <c r="F42" s="262">
        <f t="shared" si="0"/>
        <v>1.3454567000465767</v>
      </c>
      <c r="G42" s="265"/>
      <c r="I42" s="237"/>
    </row>
    <row r="43" spans="1:12" s="258" customFormat="1" ht="39.950000000000003" customHeight="1">
      <c r="A43" s="250" t="s">
        <v>59</v>
      </c>
      <c r="B43" s="251" t="s">
        <v>184</v>
      </c>
      <c r="C43" s="252"/>
      <c r="D43" s="252"/>
      <c r="E43" s="252"/>
      <c r="F43" s="266"/>
      <c r="G43" s="254"/>
      <c r="H43" s="254"/>
      <c r="I43" s="254"/>
      <c r="J43" s="256"/>
      <c r="K43" s="256"/>
      <c r="L43" s="257"/>
    </row>
    <row r="44" spans="1:12" s="258" customFormat="1" ht="39.950000000000003" customHeight="1">
      <c r="A44" s="250" t="s">
        <v>60</v>
      </c>
      <c r="B44" s="251" t="s">
        <v>277</v>
      </c>
      <c r="C44" s="252"/>
      <c r="D44" s="252"/>
      <c r="E44" s="252"/>
      <c r="F44" s="266"/>
      <c r="G44" s="254"/>
      <c r="H44" s="254"/>
      <c r="I44" s="254"/>
      <c r="J44" s="256"/>
      <c r="K44" s="256"/>
      <c r="L44" s="257"/>
    </row>
    <row r="45" spans="1:12" s="258" customFormat="1" ht="21.95" customHeight="1">
      <c r="A45" s="250" t="s">
        <v>20</v>
      </c>
      <c r="B45" s="251" t="s">
        <v>21</v>
      </c>
      <c r="C45" s="252">
        <v>4840000000</v>
      </c>
      <c r="D45" s="252" t="s">
        <v>46</v>
      </c>
      <c r="E45" s="252">
        <f t="shared" ref="E45:E46" si="5">D45-C45</f>
        <v>-4840000000</v>
      </c>
      <c r="F45" s="266"/>
      <c r="G45" s="254"/>
      <c r="H45" s="254"/>
      <c r="I45" s="254"/>
      <c r="J45" s="256"/>
      <c r="K45" s="256"/>
      <c r="L45" s="257"/>
    </row>
    <row r="46" spans="1:12" s="258" customFormat="1" ht="39.950000000000003" customHeight="1">
      <c r="A46" s="250" t="s">
        <v>22</v>
      </c>
      <c r="B46" s="251" t="s">
        <v>23</v>
      </c>
      <c r="C46" s="252">
        <v>3146000000</v>
      </c>
      <c r="D46" s="252" t="s">
        <v>46</v>
      </c>
      <c r="E46" s="252">
        <f t="shared" si="5"/>
        <v>-3146000000</v>
      </c>
      <c r="F46" s="266"/>
      <c r="G46" s="254"/>
      <c r="H46" s="254"/>
      <c r="I46" s="254"/>
      <c r="J46" s="256"/>
      <c r="K46" s="256"/>
      <c r="L46" s="257"/>
    </row>
    <row r="47" spans="1:12" s="258" customFormat="1" ht="39.950000000000003" customHeight="1">
      <c r="A47" s="250" t="s">
        <v>42</v>
      </c>
      <c r="B47" s="251" t="s">
        <v>43</v>
      </c>
      <c r="C47" s="252">
        <v>0</v>
      </c>
      <c r="D47" s="252">
        <v>80289312185</v>
      </c>
      <c r="E47" s="252">
        <f>D47</f>
        <v>80289312185</v>
      </c>
      <c r="F47" s="253"/>
      <c r="G47" s="254"/>
      <c r="H47" s="254"/>
      <c r="I47" s="254"/>
      <c r="J47" s="256"/>
      <c r="K47" s="256"/>
      <c r="L47" s="257"/>
    </row>
    <row r="48" spans="1:12" s="258" customFormat="1" ht="39.950000000000003" customHeight="1">
      <c r="A48" s="267" t="s">
        <v>190</v>
      </c>
      <c r="B48" s="268" t="s">
        <v>284</v>
      </c>
      <c r="C48" s="269">
        <v>0</v>
      </c>
      <c r="D48" s="269">
        <v>12296108112</v>
      </c>
      <c r="E48" s="269">
        <f>D48</f>
        <v>12296108112</v>
      </c>
      <c r="F48" s="270"/>
      <c r="G48" s="254"/>
      <c r="H48" s="254"/>
      <c r="I48" s="254"/>
      <c r="J48" s="256"/>
      <c r="K48" s="256"/>
      <c r="L48" s="257"/>
    </row>
    <row r="49" spans="1:12" s="235" customFormat="1" ht="7.5" customHeight="1">
      <c r="A49" s="241" t="s">
        <v>0</v>
      </c>
      <c r="G49" s="237"/>
      <c r="H49" s="237"/>
      <c r="I49" s="237"/>
      <c r="J49" s="239"/>
      <c r="K49" s="239"/>
      <c r="L49" s="240"/>
    </row>
    <row r="50" spans="1:12" s="235" customFormat="1" ht="52.5" customHeight="1">
      <c r="A50" s="375" t="s">
        <v>449</v>
      </c>
      <c r="B50" s="375"/>
      <c r="C50" s="375"/>
      <c r="D50" s="375"/>
      <c r="E50" s="375"/>
      <c r="F50" s="375"/>
      <c r="G50" s="237"/>
      <c r="H50" s="237"/>
      <c r="I50" s="238"/>
      <c r="J50" s="239"/>
      <c r="K50" s="239"/>
      <c r="L50" s="240"/>
    </row>
    <row r="51" spans="1:12" s="235" customFormat="1">
      <c r="G51" s="237"/>
      <c r="H51" s="237"/>
      <c r="I51" s="238"/>
      <c r="J51" s="239"/>
      <c r="K51" s="239"/>
      <c r="L51" s="240"/>
    </row>
    <row r="52" spans="1:12" s="235" customFormat="1">
      <c r="G52" s="237"/>
      <c r="H52" s="271"/>
      <c r="I52" s="271"/>
      <c r="J52" s="272"/>
      <c r="K52" s="239"/>
      <c r="L52" s="240"/>
    </row>
    <row r="53" spans="1:12" s="235" customFormat="1">
      <c r="G53" s="237"/>
      <c r="H53" s="271"/>
      <c r="I53" s="237"/>
      <c r="J53" s="239"/>
      <c r="K53" s="239"/>
      <c r="L53" s="240"/>
    </row>
    <row r="54" spans="1:12" s="235" customFormat="1">
      <c r="G54" s="237"/>
      <c r="H54" s="273"/>
      <c r="I54" s="237"/>
      <c r="J54" s="239"/>
      <c r="K54" s="239"/>
      <c r="L54" s="240"/>
    </row>
    <row r="55" spans="1:12" s="235" customFormat="1">
      <c r="G55" s="237"/>
      <c r="H55" s="271"/>
      <c r="I55" s="237"/>
      <c r="J55" s="239"/>
      <c r="K55" s="239"/>
      <c r="L55" s="240"/>
    </row>
    <row r="56" spans="1:12" s="235" customFormat="1">
      <c r="G56" s="237"/>
      <c r="H56" s="271"/>
      <c r="I56" s="237"/>
      <c r="J56" s="239"/>
      <c r="K56" s="239"/>
      <c r="L56" s="240"/>
    </row>
    <row r="57" spans="1:12" s="235" customFormat="1">
      <c r="G57" s="237"/>
      <c r="H57" s="271"/>
      <c r="I57" s="237"/>
      <c r="J57" s="239"/>
      <c r="K57" s="239"/>
      <c r="L57" s="240"/>
    </row>
    <row r="58" spans="1:12" s="235" customFormat="1">
      <c r="G58" s="237"/>
      <c r="H58" s="237"/>
      <c r="I58" s="237"/>
      <c r="J58" s="239"/>
      <c r="K58" s="239"/>
      <c r="L58" s="240"/>
    </row>
    <row r="59" spans="1:12" s="235" customFormat="1">
      <c r="G59" s="237"/>
      <c r="H59" s="237"/>
      <c r="I59" s="237"/>
      <c r="J59" s="239"/>
      <c r="K59" s="239"/>
      <c r="L59" s="240"/>
    </row>
    <row r="60" spans="1:12" s="235" customFormat="1">
      <c r="G60" s="237"/>
      <c r="H60" s="237"/>
      <c r="I60" s="237"/>
      <c r="J60" s="239"/>
      <c r="K60" s="239"/>
      <c r="L60" s="240"/>
    </row>
    <row r="61" spans="1:12" s="235" customFormat="1">
      <c r="G61" s="237"/>
      <c r="H61" s="237"/>
      <c r="I61" s="237"/>
      <c r="J61" s="239"/>
      <c r="K61" s="239"/>
      <c r="L61" s="240"/>
    </row>
    <row r="62" spans="1:12" s="235" customFormat="1">
      <c r="G62" s="237"/>
      <c r="H62" s="237"/>
      <c r="I62" s="237"/>
      <c r="J62" s="239"/>
      <c r="K62" s="239"/>
      <c r="L62" s="240"/>
    </row>
    <row r="63" spans="1:12" s="235" customFormat="1">
      <c r="G63" s="237"/>
      <c r="H63" s="237"/>
      <c r="I63" s="237"/>
      <c r="J63" s="239"/>
      <c r="K63" s="239"/>
      <c r="L63" s="240"/>
    </row>
    <row r="64" spans="1:12" s="235" customFormat="1">
      <c r="G64" s="237"/>
      <c r="H64" s="237"/>
      <c r="I64" s="237"/>
      <c r="J64" s="239"/>
      <c r="K64" s="239"/>
      <c r="L64" s="240"/>
    </row>
    <row r="65" spans="7:12" s="235" customFormat="1">
      <c r="G65" s="237"/>
      <c r="H65" s="237"/>
      <c r="I65" s="237"/>
      <c r="J65" s="239"/>
      <c r="K65" s="239"/>
      <c r="L65" s="240"/>
    </row>
    <row r="66" spans="7:12" s="235" customFormat="1">
      <c r="G66" s="237"/>
      <c r="H66" s="237"/>
      <c r="I66" s="238"/>
      <c r="J66" s="239"/>
      <c r="K66" s="239"/>
      <c r="L66" s="240"/>
    </row>
    <row r="67" spans="7:12" s="235" customFormat="1">
      <c r="G67" s="237"/>
      <c r="H67" s="237"/>
      <c r="I67" s="238"/>
      <c r="J67" s="239"/>
      <c r="K67" s="239"/>
      <c r="L67" s="240"/>
    </row>
    <row r="68" spans="7:12" s="235" customFormat="1">
      <c r="G68" s="237"/>
      <c r="H68" s="237"/>
      <c r="I68" s="238"/>
      <c r="J68" s="239"/>
      <c r="K68" s="239"/>
      <c r="L68" s="240"/>
    </row>
    <row r="69" spans="7:12" s="235" customFormat="1">
      <c r="G69" s="237"/>
      <c r="H69" s="237"/>
      <c r="I69" s="238"/>
      <c r="J69" s="239"/>
      <c r="K69" s="239"/>
      <c r="L69" s="240"/>
    </row>
    <row r="70" spans="7:12" s="235" customFormat="1">
      <c r="G70" s="237"/>
      <c r="H70" s="237"/>
      <c r="I70" s="238"/>
      <c r="J70" s="239"/>
      <c r="K70" s="239"/>
      <c r="L70" s="240"/>
    </row>
    <row r="71" spans="7:12" s="235" customFormat="1">
      <c r="G71" s="237"/>
      <c r="H71" s="237"/>
      <c r="I71" s="238"/>
      <c r="J71" s="239"/>
      <c r="K71" s="239"/>
      <c r="L71" s="240"/>
    </row>
    <row r="72" spans="7:12" s="235" customFormat="1">
      <c r="G72" s="237"/>
      <c r="H72" s="237"/>
      <c r="I72" s="238"/>
      <c r="J72" s="239"/>
      <c r="K72" s="239"/>
      <c r="L72" s="240"/>
    </row>
    <row r="73" spans="7:12" s="235" customFormat="1">
      <c r="G73" s="237"/>
      <c r="H73" s="237"/>
      <c r="I73" s="238"/>
      <c r="J73" s="239"/>
      <c r="K73" s="239"/>
      <c r="L73" s="240"/>
    </row>
    <row r="74" spans="7:12" s="235" customFormat="1">
      <c r="G74" s="237"/>
      <c r="H74" s="237"/>
      <c r="I74" s="238"/>
      <c r="J74" s="239"/>
      <c r="K74" s="239"/>
      <c r="L74" s="240"/>
    </row>
    <row r="75" spans="7:12" s="235" customFormat="1">
      <c r="G75" s="237"/>
      <c r="H75" s="237"/>
      <c r="I75" s="238"/>
      <c r="J75" s="239"/>
      <c r="K75" s="239"/>
      <c r="L75" s="240"/>
    </row>
    <row r="76" spans="7:12" s="235" customFormat="1">
      <c r="G76" s="237"/>
      <c r="H76" s="237"/>
      <c r="I76" s="238"/>
      <c r="J76" s="239"/>
      <c r="K76" s="239"/>
      <c r="L76" s="240"/>
    </row>
    <row r="77" spans="7:12" s="235" customFormat="1">
      <c r="G77" s="237"/>
      <c r="H77" s="237"/>
      <c r="I77" s="238"/>
      <c r="J77" s="239"/>
      <c r="K77" s="239"/>
      <c r="L77" s="240"/>
    </row>
    <row r="78" spans="7:12" s="235" customFormat="1">
      <c r="G78" s="237"/>
      <c r="H78" s="237"/>
      <c r="I78" s="238"/>
      <c r="J78" s="239"/>
      <c r="K78" s="239"/>
      <c r="L78" s="240"/>
    </row>
    <row r="79" spans="7:12" s="235" customFormat="1">
      <c r="G79" s="237"/>
      <c r="H79" s="237"/>
      <c r="I79" s="238"/>
      <c r="J79" s="239"/>
      <c r="K79" s="239"/>
      <c r="L79" s="240"/>
    </row>
    <row r="80" spans="7:12" s="235" customFormat="1">
      <c r="G80" s="237"/>
      <c r="H80" s="237"/>
      <c r="I80" s="238"/>
      <c r="J80" s="239"/>
      <c r="K80" s="239"/>
      <c r="L80" s="240"/>
    </row>
    <row r="81" spans="7:12" s="235" customFormat="1">
      <c r="G81" s="237"/>
      <c r="H81" s="237"/>
      <c r="I81" s="238"/>
      <c r="J81" s="239"/>
      <c r="K81" s="239"/>
      <c r="L81" s="240"/>
    </row>
    <row r="82" spans="7:12" s="235" customFormat="1">
      <c r="G82" s="237"/>
      <c r="H82" s="237"/>
      <c r="I82" s="238"/>
      <c r="J82" s="239"/>
      <c r="K82" s="239"/>
      <c r="L82" s="240"/>
    </row>
    <row r="83" spans="7:12" s="235" customFormat="1">
      <c r="G83" s="237"/>
      <c r="H83" s="237"/>
      <c r="I83" s="238"/>
      <c r="J83" s="239"/>
      <c r="K83" s="239"/>
      <c r="L83" s="240"/>
    </row>
    <row r="84" spans="7:12" s="235" customFormat="1">
      <c r="G84" s="237"/>
      <c r="H84" s="237"/>
      <c r="I84" s="238"/>
      <c r="J84" s="239"/>
      <c r="K84" s="239"/>
      <c r="L84" s="240"/>
    </row>
    <row r="85" spans="7:12" s="235" customFormat="1">
      <c r="G85" s="237"/>
      <c r="H85" s="237"/>
      <c r="I85" s="238"/>
      <c r="J85" s="239"/>
      <c r="K85" s="239"/>
      <c r="L85" s="240"/>
    </row>
    <row r="86" spans="7:12" s="235" customFormat="1">
      <c r="G86" s="237"/>
      <c r="H86" s="237"/>
      <c r="I86" s="238"/>
      <c r="J86" s="239"/>
      <c r="K86" s="239"/>
      <c r="L86" s="240"/>
    </row>
    <row r="87" spans="7:12" s="235" customFormat="1">
      <c r="G87" s="237"/>
      <c r="H87" s="237"/>
      <c r="I87" s="238"/>
      <c r="J87" s="239"/>
      <c r="K87" s="239"/>
      <c r="L87" s="240"/>
    </row>
    <row r="88" spans="7:12" s="235" customFormat="1">
      <c r="G88" s="237"/>
      <c r="H88" s="237"/>
      <c r="I88" s="238"/>
      <c r="J88" s="239"/>
      <c r="K88" s="239"/>
      <c r="L88" s="240"/>
    </row>
    <row r="89" spans="7:12" s="235" customFormat="1">
      <c r="G89" s="237"/>
      <c r="H89" s="237"/>
      <c r="I89" s="238"/>
      <c r="J89" s="239"/>
      <c r="K89" s="239"/>
      <c r="L89" s="240"/>
    </row>
    <row r="90" spans="7:12" s="235" customFormat="1">
      <c r="G90" s="237"/>
      <c r="H90" s="237"/>
      <c r="I90" s="238"/>
      <c r="J90" s="239"/>
      <c r="K90" s="239"/>
      <c r="L90" s="240"/>
    </row>
    <row r="91" spans="7:12" s="235" customFormat="1">
      <c r="G91" s="237"/>
      <c r="H91" s="237"/>
      <c r="I91" s="238"/>
      <c r="J91" s="239"/>
      <c r="K91" s="239"/>
      <c r="L91" s="240"/>
    </row>
    <row r="92" spans="7:12" s="235" customFormat="1">
      <c r="G92" s="237"/>
      <c r="H92" s="237"/>
      <c r="I92" s="238"/>
      <c r="J92" s="239"/>
      <c r="K92" s="239"/>
      <c r="L92" s="240"/>
    </row>
    <row r="93" spans="7:12" s="235" customFormat="1">
      <c r="G93" s="237"/>
      <c r="H93" s="237"/>
      <c r="I93" s="238"/>
      <c r="J93" s="239"/>
      <c r="K93" s="239"/>
      <c r="L93" s="240"/>
    </row>
    <row r="94" spans="7:12" s="235" customFormat="1">
      <c r="G94" s="237"/>
      <c r="H94" s="237"/>
      <c r="I94" s="238"/>
      <c r="J94" s="239"/>
      <c r="K94" s="239"/>
      <c r="L94" s="240"/>
    </row>
    <row r="95" spans="7:12" s="235" customFormat="1">
      <c r="G95" s="237"/>
      <c r="H95" s="237"/>
      <c r="I95" s="238"/>
      <c r="J95" s="239"/>
      <c r="K95" s="239"/>
      <c r="L95" s="240"/>
    </row>
    <row r="96" spans="7:12" s="235" customFormat="1">
      <c r="G96" s="237"/>
      <c r="H96" s="237"/>
      <c r="I96" s="238"/>
      <c r="J96" s="239"/>
      <c r="K96" s="239"/>
      <c r="L96" s="240"/>
    </row>
    <row r="97" spans="7:12" s="235" customFormat="1">
      <c r="G97" s="237"/>
      <c r="H97" s="237"/>
      <c r="I97" s="238"/>
      <c r="J97" s="239"/>
      <c r="K97" s="239"/>
      <c r="L97" s="240"/>
    </row>
    <row r="98" spans="7:12" s="235" customFormat="1">
      <c r="G98" s="237"/>
      <c r="H98" s="237"/>
      <c r="I98" s="238"/>
      <c r="J98" s="239"/>
      <c r="K98" s="239"/>
      <c r="L98" s="240"/>
    </row>
    <row r="99" spans="7:12" s="235" customFormat="1">
      <c r="G99" s="237"/>
      <c r="H99" s="237"/>
      <c r="I99" s="238"/>
      <c r="J99" s="239"/>
      <c r="K99" s="239"/>
      <c r="L99" s="240"/>
    </row>
    <row r="100" spans="7:12" s="235" customFormat="1">
      <c r="G100" s="237"/>
      <c r="H100" s="237"/>
      <c r="I100" s="238"/>
      <c r="J100" s="239"/>
      <c r="K100" s="239"/>
      <c r="L100" s="240"/>
    </row>
    <row r="101" spans="7:12" s="235" customFormat="1">
      <c r="G101" s="237"/>
      <c r="H101" s="237"/>
      <c r="I101" s="238"/>
      <c r="J101" s="239"/>
      <c r="K101" s="239"/>
      <c r="L101" s="240"/>
    </row>
    <row r="102" spans="7:12" s="235" customFormat="1">
      <c r="G102" s="237"/>
      <c r="H102" s="237"/>
      <c r="I102" s="238"/>
      <c r="J102" s="239"/>
      <c r="K102" s="239"/>
      <c r="L102" s="240"/>
    </row>
    <row r="103" spans="7:12" s="235" customFormat="1">
      <c r="G103" s="237"/>
      <c r="H103" s="237"/>
      <c r="I103" s="238"/>
      <c r="J103" s="239"/>
      <c r="K103" s="239"/>
      <c r="L103" s="240"/>
    </row>
    <row r="104" spans="7:12" s="235" customFormat="1">
      <c r="G104" s="237"/>
      <c r="H104" s="237"/>
      <c r="I104" s="238"/>
      <c r="J104" s="239"/>
      <c r="K104" s="239"/>
      <c r="L104" s="240"/>
    </row>
    <row r="105" spans="7:12" s="235" customFormat="1">
      <c r="G105" s="237"/>
      <c r="H105" s="237"/>
      <c r="I105" s="238"/>
      <c r="J105" s="239"/>
      <c r="K105" s="239"/>
      <c r="L105" s="240"/>
    </row>
    <row r="106" spans="7:12" s="235" customFormat="1">
      <c r="G106" s="237"/>
      <c r="H106" s="237"/>
      <c r="I106" s="238"/>
      <c r="J106" s="239"/>
      <c r="K106" s="239"/>
      <c r="L106" s="240"/>
    </row>
    <row r="107" spans="7:12" s="235" customFormat="1">
      <c r="G107" s="237"/>
      <c r="H107" s="237"/>
      <c r="I107" s="238"/>
      <c r="J107" s="239"/>
      <c r="K107" s="239"/>
      <c r="L107" s="240"/>
    </row>
    <row r="108" spans="7:12" s="235" customFormat="1">
      <c r="G108" s="237"/>
      <c r="H108" s="237"/>
      <c r="I108" s="238"/>
      <c r="J108" s="239"/>
      <c r="K108" s="239"/>
      <c r="L108" s="240"/>
    </row>
    <row r="109" spans="7:12" s="235" customFormat="1">
      <c r="G109" s="237"/>
      <c r="H109" s="237"/>
      <c r="I109" s="238"/>
      <c r="J109" s="239"/>
      <c r="K109" s="239"/>
      <c r="L109" s="240"/>
    </row>
    <row r="110" spans="7:12" s="235" customFormat="1">
      <c r="G110" s="237"/>
      <c r="H110" s="237"/>
      <c r="I110" s="238"/>
      <c r="J110" s="239"/>
      <c r="K110" s="239"/>
      <c r="L110" s="240"/>
    </row>
    <row r="111" spans="7:12" s="235" customFormat="1">
      <c r="G111" s="237"/>
      <c r="H111" s="237"/>
      <c r="I111" s="238"/>
      <c r="J111" s="239"/>
      <c r="K111" s="239"/>
      <c r="L111" s="240"/>
    </row>
    <row r="112" spans="7:12" s="235" customFormat="1">
      <c r="G112" s="237"/>
      <c r="H112" s="237"/>
      <c r="I112" s="238"/>
      <c r="J112" s="239"/>
      <c r="K112" s="239"/>
      <c r="L112" s="240"/>
    </row>
    <row r="113" spans="7:12" s="235" customFormat="1">
      <c r="G113" s="237"/>
      <c r="H113" s="237"/>
      <c r="I113" s="238"/>
      <c r="J113" s="239"/>
      <c r="K113" s="239"/>
      <c r="L113" s="240"/>
    </row>
    <row r="114" spans="7:12" s="235" customFormat="1">
      <c r="G114" s="237"/>
      <c r="H114" s="237"/>
      <c r="I114" s="238"/>
      <c r="J114" s="239"/>
      <c r="K114" s="239"/>
      <c r="L114" s="240"/>
    </row>
    <row r="115" spans="7:12" s="235" customFormat="1">
      <c r="G115" s="237"/>
      <c r="H115" s="237"/>
      <c r="I115" s="238"/>
      <c r="J115" s="239"/>
      <c r="K115" s="239"/>
      <c r="L115" s="240"/>
    </row>
    <row r="116" spans="7:12" s="235" customFormat="1">
      <c r="G116" s="237"/>
      <c r="H116" s="237"/>
      <c r="I116" s="238"/>
      <c r="J116" s="239"/>
      <c r="K116" s="239"/>
      <c r="L116" s="240"/>
    </row>
    <row r="117" spans="7:12" s="235" customFormat="1">
      <c r="G117" s="237"/>
      <c r="H117" s="237"/>
      <c r="I117" s="238"/>
      <c r="J117" s="239"/>
      <c r="K117" s="239"/>
      <c r="L117" s="240"/>
    </row>
    <row r="118" spans="7:12" s="235" customFormat="1">
      <c r="G118" s="237"/>
      <c r="H118" s="237"/>
      <c r="I118" s="238"/>
      <c r="J118" s="239"/>
      <c r="K118" s="239"/>
      <c r="L118" s="240"/>
    </row>
    <row r="119" spans="7:12" s="235" customFormat="1">
      <c r="G119" s="237"/>
      <c r="H119" s="237"/>
      <c r="I119" s="238"/>
      <c r="J119" s="239"/>
      <c r="K119" s="239"/>
      <c r="L119" s="240"/>
    </row>
    <row r="120" spans="7:12" s="235" customFormat="1">
      <c r="G120" s="237"/>
      <c r="H120" s="237"/>
      <c r="I120" s="238"/>
      <c r="J120" s="239"/>
      <c r="K120" s="239"/>
      <c r="L120" s="240"/>
    </row>
    <row r="121" spans="7:12" s="235" customFormat="1">
      <c r="G121" s="237"/>
      <c r="H121" s="237"/>
      <c r="I121" s="238"/>
      <c r="J121" s="239"/>
      <c r="K121" s="239"/>
      <c r="L121" s="240"/>
    </row>
    <row r="122" spans="7:12" s="235" customFormat="1">
      <c r="G122" s="237"/>
      <c r="H122" s="237"/>
      <c r="I122" s="238"/>
      <c r="J122" s="239"/>
      <c r="K122" s="239"/>
      <c r="L122" s="240"/>
    </row>
    <row r="123" spans="7:12" s="235" customFormat="1">
      <c r="G123" s="237"/>
      <c r="H123" s="237"/>
      <c r="I123" s="238"/>
      <c r="J123" s="239"/>
      <c r="K123" s="239"/>
      <c r="L123" s="240"/>
    </row>
    <row r="124" spans="7:12" s="235" customFormat="1">
      <c r="G124" s="237"/>
      <c r="H124" s="237"/>
      <c r="I124" s="238"/>
      <c r="J124" s="239"/>
      <c r="K124" s="239"/>
      <c r="L124" s="240"/>
    </row>
    <row r="125" spans="7:12" s="235" customFormat="1">
      <c r="G125" s="237"/>
      <c r="H125" s="237"/>
      <c r="I125" s="238"/>
      <c r="J125" s="239"/>
      <c r="K125" s="239"/>
      <c r="L125" s="240"/>
    </row>
    <row r="126" spans="7:12" s="235" customFormat="1">
      <c r="G126" s="237"/>
      <c r="H126" s="237"/>
      <c r="I126" s="238"/>
      <c r="J126" s="239"/>
      <c r="K126" s="239"/>
      <c r="L126" s="240"/>
    </row>
    <row r="127" spans="7:12" s="235" customFormat="1">
      <c r="G127" s="237"/>
      <c r="H127" s="237"/>
      <c r="I127" s="238"/>
      <c r="J127" s="239"/>
      <c r="K127" s="239"/>
      <c r="L127" s="240"/>
    </row>
    <row r="128" spans="7:12" s="235" customFormat="1">
      <c r="G128" s="237"/>
      <c r="H128" s="237"/>
      <c r="I128" s="238"/>
      <c r="J128" s="239"/>
      <c r="K128" s="239"/>
      <c r="L128" s="240"/>
    </row>
    <row r="129" spans="7:12" s="235" customFormat="1">
      <c r="G129" s="237"/>
      <c r="H129" s="237"/>
      <c r="I129" s="238"/>
      <c r="J129" s="239"/>
      <c r="K129" s="239"/>
      <c r="L129" s="240"/>
    </row>
    <row r="130" spans="7:12" s="235" customFormat="1">
      <c r="G130" s="237"/>
      <c r="H130" s="237"/>
      <c r="I130" s="238"/>
      <c r="J130" s="239"/>
      <c r="K130" s="239"/>
      <c r="L130" s="240"/>
    </row>
    <row r="131" spans="7:12" s="235" customFormat="1">
      <c r="G131" s="237"/>
      <c r="H131" s="237"/>
      <c r="I131" s="238"/>
      <c r="J131" s="239"/>
      <c r="K131" s="239"/>
      <c r="L131" s="240"/>
    </row>
    <row r="132" spans="7:12" s="235" customFormat="1">
      <c r="G132" s="237"/>
      <c r="H132" s="237"/>
      <c r="I132" s="238"/>
      <c r="J132" s="239"/>
      <c r="K132" s="239"/>
      <c r="L132" s="240"/>
    </row>
    <row r="133" spans="7:12" s="235" customFormat="1">
      <c r="G133" s="237"/>
      <c r="H133" s="237"/>
      <c r="I133" s="238"/>
      <c r="J133" s="239"/>
      <c r="K133" s="239"/>
      <c r="L133" s="240"/>
    </row>
    <row r="134" spans="7:12" s="235" customFormat="1">
      <c r="G134" s="237"/>
      <c r="H134" s="237"/>
      <c r="I134" s="238"/>
      <c r="J134" s="239"/>
      <c r="K134" s="239"/>
      <c r="L134" s="240"/>
    </row>
    <row r="135" spans="7:12" s="235" customFormat="1">
      <c r="G135" s="237"/>
      <c r="H135" s="237"/>
      <c r="I135" s="238"/>
      <c r="J135" s="239"/>
      <c r="K135" s="239"/>
      <c r="L135" s="240"/>
    </row>
    <row r="136" spans="7:12" s="235" customFormat="1">
      <c r="G136" s="237"/>
      <c r="H136" s="237"/>
      <c r="I136" s="238"/>
      <c r="J136" s="239"/>
      <c r="K136" s="239"/>
      <c r="L136" s="240"/>
    </row>
    <row r="137" spans="7:12" s="235" customFormat="1">
      <c r="G137" s="237"/>
      <c r="H137" s="237"/>
      <c r="I137" s="238"/>
      <c r="J137" s="239"/>
      <c r="K137" s="239"/>
      <c r="L137" s="240"/>
    </row>
    <row r="138" spans="7:12" s="235" customFormat="1">
      <c r="G138" s="237"/>
      <c r="H138" s="237"/>
      <c r="I138" s="238"/>
      <c r="J138" s="239"/>
      <c r="K138" s="239"/>
      <c r="L138" s="240"/>
    </row>
    <row r="139" spans="7:12" s="235" customFormat="1">
      <c r="G139" s="237"/>
      <c r="H139" s="237"/>
      <c r="I139" s="238"/>
      <c r="J139" s="239"/>
      <c r="K139" s="239"/>
      <c r="L139" s="240"/>
    </row>
    <row r="140" spans="7:12" s="235" customFormat="1">
      <c r="G140" s="237"/>
      <c r="H140" s="237"/>
      <c r="I140" s="238"/>
      <c r="J140" s="239"/>
      <c r="K140" s="239"/>
      <c r="L140" s="240"/>
    </row>
    <row r="141" spans="7:12" s="235" customFormat="1">
      <c r="G141" s="237"/>
      <c r="H141" s="237"/>
      <c r="I141" s="238"/>
      <c r="J141" s="239"/>
      <c r="K141" s="239"/>
      <c r="L141" s="240"/>
    </row>
    <row r="142" spans="7:12" s="235" customFormat="1">
      <c r="G142" s="237"/>
      <c r="H142" s="237"/>
      <c r="I142" s="238"/>
      <c r="J142" s="239"/>
      <c r="K142" s="239"/>
      <c r="L142" s="240"/>
    </row>
    <row r="143" spans="7:12" s="235" customFormat="1">
      <c r="G143" s="237"/>
      <c r="H143" s="237"/>
      <c r="I143" s="238"/>
      <c r="J143" s="239"/>
      <c r="K143" s="239"/>
      <c r="L143" s="240"/>
    </row>
    <row r="144" spans="7:12" s="235" customFormat="1">
      <c r="G144" s="237"/>
      <c r="H144" s="237"/>
      <c r="I144" s="238"/>
      <c r="J144" s="239"/>
      <c r="K144" s="239"/>
      <c r="L144" s="240"/>
    </row>
    <row r="145" spans="7:12" s="235" customFormat="1">
      <c r="G145" s="237"/>
      <c r="H145" s="237"/>
      <c r="I145" s="238"/>
      <c r="J145" s="239"/>
      <c r="K145" s="239"/>
      <c r="L145" s="240"/>
    </row>
    <row r="146" spans="7:12" s="235" customFormat="1">
      <c r="G146" s="237"/>
      <c r="H146" s="237"/>
      <c r="I146" s="238"/>
      <c r="J146" s="239"/>
      <c r="K146" s="239"/>
      <c r="L146" s="240"/>
    </row>
    <row r="147" spans="7:12" s="235" customFormat="1">
      <c r="G147" s="237"/>
      <c r="H147" s="237"/>
      <c r="I147" s="238"/>
      <c r="J147" s="239"/>
      <c r="K147" s="239"/>
      <c r="L147" s="240"/>
    </row>
    <row r="148" spans="7:12" s="235" customFormat="1">
      <c r="G148" s="237"/>
      <c r="H148" s="237"/>
      <c r="I148" s="238"/>
      <c r="J148" s="239"/>
      <c r="K148" s="239"/>
      <c r="L148" s="240"/>
    </row>
    <row r="149" spans="7:12" s="235" customFormat="1">
      <c r="G149" s="237"/>
      <c r="H149" s="237"/>
      <c r="I149" s="238"/>
      <c r="J149" s="239"/>
      <c r="K149" s="239"/>
      <c r="L149" s="240"/>
    </row>
    <row r="150" spans="7:12" s="235" customFormat="1">
      <c r="G150" s="237"/>
      <c r="H150" s="237"/>
      <c r="I150" s="238"/>
      <c r="J150" s="239"/>
      <c r="K150" s="239"/>
      <c r="L150" s="240"/>
    </row>
    <row r="151" spans="7:12" s="235" customFormat="1">
      <c r="G151" s="237"/>
      <c r="H151" s="237"/>
      <c r="I151" s="238"/>
      <c r="J151" s="239"/>
      <c r="K151" s="239"/>
      <c r="L151" s="240"/>
    </row>
    <row r="152" spans="7:12" s="235" customFormat="1">
      <c r="G152" s="237"/>
      <c r="H152" s="237"/>
      <c r="I152" s="238"/>
      <c r="J152" s="239"/>
      <c r="K152" s="239"/>
      <c r="L152" s="240"/>
    </row>
    <row r="153" spans="7:12" s="235" customFormat="1">
      <c r="G153" s="237"/>
      <c r="H153" s="237"/>
      <c r="I153" s="238"/>
      <c r="J153" s="239"/>
      <c r="K153" s="239"/>
      <c r="L153" s="240"/>
    </row>
    <row r="154" spans="7:12" s="235" customFormat="1">
      <c r="G154" s="237"/>
      <c r="H154" s="237"/>
      <c r="I154" s="238"/>
      <c r="J154" s="239"/>
      <c r="K154" s="239"/>
      <c r="L154" s="240"/>
    </row>
    <row r="155" spans="7:12" s="235" customFormat="1">
      <c r="G155" s="237"/>
      <c r="H155" s="237"/>
      <c r="I155" s="238"/>
      <c r="J155" s="239"/>
      <c r="K155" s="239"/>
      <c r="L155" s="240"/>
    </row>
    <row r="156" spans="7:12" s="235" customFormat="1">
      <c r="G156" s="237"/>
      <c r="H156" s="237"/>
      <c r="I156" s="238"/>
      <c r="J156" s="239"/>
      <c r="K156" s="239"/>
      <c r="L156" s="240"/>
    </row>
    <row r="157" spans="7:12" s="235" customFormat="1">
      <c r="G157" s="237"/>
      <c r="H157" s="237"/>
      <c r="I157" s="238"/>
      <c r="J157" s="239"/>
      <c r="K157" s="239"/>
      <c r="L157" s="240"/>
    </row>
    <row r="158" spans="7:12" s="235" customFormat="1">
      <c r="G158" s="237"/>
      <c r="H158" s="237"/>
      <c r="I158" s="238"/>
      <c r="J158" s="239"/>
      <c r="K158" s="239"/>
      <c r="L158" s="240"/>
    </row>
    <row r="159" spans="7:12" s="235" customFormat="1">
      <c r="G159" s="237"/>
      <c r="H159" s="237"/>
      <c r="I159" s="238"/>
      <c r="J159" s="239"/>
      <c r="K159" s="239"/>
      <c r="L159" s="240"/>
    </row>
    <row r="160" spans="7:12" s="235" customFormat="1">
      <c r="G160" s="237"/>
      <c r="H160" s="237"/>
      <c r="I160" s="238"/>
      <c r="J160" s="239"/>
      <c r="K160" s="239"/>
      <c r="L160" s="240"/>
    </row>
    <row r="161" spans="7:12" s="235" customFormat="1">
      <c r="G161" s="237"/>
      <c r="H161" s="237"/>
      <c r="I161" s="238"/>
      <c r="J161" s="239"/>
      <c r="K161" s="239"/>
      <c r="L161" s="240"/>
    </row>
    <row r="162" spans="7:12" s="235" customFormat="1">
      <c r="G162" s="237"/>
      <c r="H162" s="237"/>
      <c r="I162" s="238"/>
      <c r="J162" s="239"/>
      <c r="K162" s="239"/>
      <c r="L162" s="240"/>
    </row>
    <row r="163" spans="7:12" s="235" customFormat="1">
      <c r="G163" s="237"/>
      <c r="H163" s="237"/>
      <c r="I163" s="238"/>
      <c r="J163" s="239"/>
      <c r="K163" s="239"/>
      <c r="L163" s="240"/>
    </row>
    <row r="164" spans="7:12" s="235" customFormat="1">
      <c r="G164" s="237"/>
      <c r="H164" s="237"/>
      <c r="I164" s="238"/>
      <c r="J164" s="239"/>
      <c r="K164" s="239"/>
      <c r="L164" s="240"/>
    </row>
    <row r="165" spans="7:12" s="235" customFormat="1">
      <c r="G165" s="237"/>
      <c r="H165" s="237"/>
      <c r="I165" s="238"/>
      <c r="J165" s="239"/>
      <c r="K165" s="239"/>
      <c r="L165" s="240"/>
    </row>
    <row r="166" spans="7:12" s="235" customFormat="1">
      <c r="G166" s="237"/>
      <c r="H166" s="237"/>
      <c r="I166" s="238"/>
      <c r="J166" s="239"/>
      <c r="K166" s="239"/>
      <c r="L166" s="240"/>
    </row>
    <row r="167" spans="7:12" s="235" customFormat="1">
      <c r="G167" s="237"/>
      <c r="H167" s="237"/>
      <c r="I167" s="238"/>
      <c r="J167" s="239"/>
      <c r="K167" s="239"/>
      <c r="L167" s="240"/>
    </row>
    <row r="168" spans="7:12" s="235" customFormat="1">
      <c r="G168" s="237"/>
      <c r="H168" s="237"/>
      <c r="I168" s="238"/>
      <c r="J168" s="239"/>
      <c r="K168" s="239"/>
      <c r="L168" s="240"/>
    </row>
    <row r="169" spans="7:12" s="235" customFormat="1">
      <c r="G169" s="237"/>
      <c r="H169" s="237"/>
      <c r="I169" s="238"/>
      <c r="J169" s="239"/>
      <c r="K169" s="239"/>
      <c r="L169" s="240"/>
    </row>
    <row r="170" spans="7:12" s="235" customFormat="1">
      <c r="G170" s="237"/>
      <c r="H170" s="237"/>
      <c r="I170" s="238"/>
      <c r="J170" s="239"/>
      <c r="K170" s="239"/>
      <c r="L170" s="240"/>
    </row>
    <row r="171" spans="7:12" s="235" customFormat="1">
      <c r="G171" s="237"/>
      <c r="H171" s="237"/>
      <c r="I171" s="238"/>
      <c r="J171" s="239"/>
      <c r="K171" s="239"/>
      <c r="L171" s="240"/>
    </row>
    <row r="172" spans="7:12" s="235" customFormat="1">
      <c r="G172" s="237"/>
      <c r="H172" s="237"/>
      <c r="I172" s="238"/>
      <c r="J172" s="239"/>
      <c r="K172" s="239"/>
      <c r="L172" s="240"/>
    </row>
    <row r="173" spans="7:12" s="235" customFormat="1">
      <c r="G173" s="237"/>
      <c r="H173" s="237"/>
      <c r="I173" s="238"/>
      <c r="J173" s="239"/>
      <c r="K173" s="239"/>
      <c r="L173" s="240"/>
    </row>
    <row r="174" spans="7:12" s="235" customFormat="1">
      <c r="G174" s="237"/>
      <c r="H174" s="237"/>
      <c r="I174" s="238"/>
      <c r="J174" s="239"/>
      <c r="K174" s="239"/>
      <c r="L174" s="240"/>
    </row>
    <row r="175" spans="7:12" s="235" customFormat="1">
      <c r="G175" s="237"/>
      <c r="H175" s="237"/>
      <c r="I175" s="238"/>
      <c r="J175" s="239"/>
      <c r="K175" s="239"/>
      <c r="L175" s="240"/>
    </row>
    <row r="176" spans="7:12" s="235" customFormat="1">
      <c r="G176" s="237"/>
      <c r="H176" s="237"/>
      <c r="I176" s="238"/>
      <c r="J176" s="239"/>
      <c r="K176" s="239"/>
      <c r="L176" s="240"/>
    </row>
    <row r="177" spans="7:12" s="235" customFormat="1">
      <c r="G177" s="237"/>
      <c r="H177" s="237"/>
      <c r="I177" s="238"/>
      <c r="J177" s="239"/>
      <c r="K177" s="239"/>
      <c r="L177" s="240"/>
    </row>
    <row r="178" spans="7:12" s="235" customFormat="1">
      <c r="G178" s="237"/>
      <c r="H178" s="237"/>
      <c r="I178" s="238"/>
      <c r="J178" s="239"/>
      <c r="K178" s="239"/>
      <c r="L178" s="240"/>
    </row>
    <row r="179" spans="7:12" s="235" customFormat="1">
      <c r="G179" s="237"/>
      <c r="H179" s="237"/>
      <c r="I179" s="238"/>
      <c r="J179" s="239"/>
      <c r="K179" s="239"/>
      <c r="L179" s="240"/>
    </row>
    <row r="180" spans="7:12" s="235" customFormat="1">
      <c r="G180" s="237"/>
      <c r="H180" s="237"/>
      <c r="I180" s="238"/>
      <c r="J180" s="239"/>
      <c r="K180" s="239"/>
      <c r="L180" s="240"/>
    </row>
    <row r="181" spans="7:12" s="235" customFormat="1">
      <c r="G181" s="237"/>
      <c r="H181" s="237"/>
      <c r="I181" s="238"/>
      <c r="J181" s="239"/>
      <c r="K181" s="239"/>
      <c r="L181" s="240"/>
    </row>
    <row r="182" spans="7:12" s="235" customFormat="1">
      <c r="G182" s="237"/>
      <c r="H182" s="237"/>
      <c r="I182" s="238"/>
      <c r="J182" s="239"/>
      <c r="K182" s="239"/>
      <c r="L182" s="240"/>
    </row>
    <row r="183" spans="7:12" s="235" customFormat="1">
      <c r="G183" s="237"/>
      <c r="H183" s="237"/>
      <c r="I183" s="238"/>
      <c r="J183" s="239"/>
      <c r="K183" s="239"/>
      <c r="L183" s="240"/>
    </row>
    <row r="184" spans="7:12" s="235" customFormat="1">
      <c r="G184" s="237"/>
      <c r="H184" s="237"/>
      <c r="I184" s="238"/>
      <c r="J184" s="239"/>
      <c r="K184" s="239"/>
      <c r="L184" s="240"/>
    </row>
    <row r="185" spans="7:12" s="235" customFormat="1">
      <c r="G185" s="237"/>
      <c r="H185" s="237"/>
      <c r="I185" s="238"/>
      <c r="J185" s="239"/>
      <c r="K185" s="239"/>
      <c r="L185" s="240"/>
    </row>
    <row r="186" spans="7:12" s="235" customFormat="1">
      <c r="G186" s="237"/>
      <c r="H186" s="237"/>
      <c r="I186" s="238"/>
      <c r="J186" s="239"/>
      <c r="K186" s="239"/>
      <c r="L186" s="240"/>
    </row>
    <row r="187" spans="7:12" s="235" customFormat="1">
      <c r="G187" s="237"/>
      <c r="H187" s="237"/>
      <c r="I187" s="238"/>
      <c r="J187" s="239"/>
      <c r="K187" s="239"/>
      <c r="L187" s="240"/>
    </row>
    <row r="188" spans="7:12" s="235" customFormat="1">
      <c r="G188" s="237"/>
      <c r="H188" s="237"/>
      <c r="I188" s="238"/>
      <c r="J188" s="239"/>
      <c r="K188" s="239"/>
      <c r="L188" s="240"/>
    </row>
    <row r="189" spans="7:12" s="235" customFormat="1">
      <c r="G189" s="237"/>
      <c r="H189" s="237"/>
      <c r="I189" s="238"/>
      <c r="J189" s="239"/>
      <c r="K189" s="239"/>
      <c r="L189" s="240"/>
    </row>
    <row r="190" spans="7:12" s="235" customFormat="1">
      <c r="G190" s="237"/>
      <c r="H190" s="237"/>
      <c r="I190" s="238"/>
      <c r="J190" s="239"/>
      <c r="K190" s="239"/>
      <c r="L190" s="240"/>
    </row>
  </sheetData>
  <mergeCells count="9">
    <mergeCell ref="L27:L28"/>
    <mergeCell ref="A50:F50"/>
    <mergeCell ref="A3:F3"/>
    <mergeCell ref="A4:F4"/>
    <mergeCell ref="E7:F7"/>
    <mergeCell ref="A7:A8"/>
    <mergeCell ref="B7:B8"/>
    <mergeCell ref="C7:C8"/>
    <mergeCell ref="D7:D8"/>
  </mergeCells>
  <phoneticPr fontId="38" type="noConversion"/>
  <pageMargins left="0.74" right="0.31" top="0.77" bottom="0.65" header="0.3" footer="0.3"/>
  <pageSetup paperSize="9" scale="83" fitToHeight="0" orientation="portrait" verticalDpi="0" r:id="rId1"/>
  <headerFooter>
    <oddFooter>&amp;C&amp;12&amp;P/&amp;N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82"/>
  <sheetViews>
    <sheetView showGridLines="0" showZeros="0" topLeftCell="C37" workbookViewId="0">
      <selection activeCell="I51" sqref="I51:I52"/>
    </sheetView>
  </sheetViews>
  <sheetFormatPr defaultRowHeight="16.5"/>
  <cols>
    <col min="1" max="1" width="6.42578125" style="196" customWidth="1"/>
    <col min="2" max="2" width="36.7109375" style="196" customWidth="1"/>
    <col min="3" max="3" width="19.140625" style="196" customWidth="1"/>
    <col min="4" max="4" width="19" style="196" customWidth="1"/>
    <col min="5" max="5" width="18.42578125" style="196" customWidth="1"/>
    <col min="6" max="7" width="18.7109375" style="196" customWidth="1"/>
    <col min="8" max="8" width="17.5703125" style="196" customWidth="1"/>
    <col min="9" max="9" width="11.7109375" style="196" customWidth="1"/>
    <col min="10" max="10" width="11.5703125" style="196" customWidth="1"/>
    <col min="11" max="11" width="11.7109375" style="196" customWidth="1"/>
    <col min="12" max="12" width="15.85546875" style="196" customWidth="1"/>
    <col min="13" max="16384" width="9.140625" style="196"/>
  </cols>
  <sheetData>
    <row r="1" spans="1:11" ht="16.5" customHeight="1">
      <c r="A1" s="274" t="s">
        <v>61</v>
      </c>
      <c r="B1" s="275"/>
      <c r="C1" s="276"/>
      <c r="D1" s="276"/>
      <c r="E1" s="276"/>
      <c r="F1" s="276"/>
      <c r="G1" s="276"/>
      <c r="H1" s="276"/>
      <c r="I1" s="276"/>
    </row>
    <row r="2" spans="1:11">
      <c r="A2" s="242" t="s">
        <v>0</v>
      </c>
    </row>
    <row r="3" spans="1:11" ht="20.25">
      <c r="A3" s="380" t="s">
        <v>540</v>
      </c>
      <c r="B3" s="380"/>
      <c r="C3" s="380"/>
      <c r="D3" s="380"/>
      <c r="E3" s="380"/>
      <c r="F3" s="380"/>
      <c r="G3" s="380"/>
      <c r="H3" s="380"/>
      <c r="I3" s="380"/>
      <c r="J3" s="380"/>
      <c r="K3" s="380"/>
    </row>
    <row r="4" spans="1:11" ht="21.75" customHeight="1">
      <c r="A4" s="381" t="s">
        <v>548</v>
      </c>
      <c r="B4" s="381"/>
      <c r="C4" s="381"/>
      <c r="D4" s="381"/>
      <c r="E4" s="381"/>
      <c r="F4" s="381"/>
      <c r="G4" s="381"/>
      <c r="H4" s="381"/>
      <c r="I4" s="381"/>
      <c r="J4" s="381"/>
      <c r="K4" s="381"/>
    </row>
    <row r="5" spans="1:11">
      <c r="A5" s="242" t="s">
        <v>0</v>
      </c>
    </row>
    <row r="6" spans="1:11">
      <c r="J6" s="382" t="s">
        <v>62</v>
      </c>
      <c r="K6" s="382"/>
    </row>
    <row r="7" spans="1:11" ht="7.5" customHeight="1">
      <c r="A7" s="242" t="s">
        <v>0</v>
      </c>
    </row>
    <row r="8" spans="1:11" ht="19.5" customHeight="1">
      <c r="A8" s="378" t="s">
        <v>166</v>
      </c>
      <c r="B8" s="378" t="s">
        <v>3</v>
      </c>
      <c r="C8" s="378" t="s">
        <v>539</v>
      </c>
      <c r="D8" s="378" t="s">
        <v>63</v>
      </c>
      <c r="E8" s="378"/>
      <c r="F8" s="378" t="s">
        <v>457</v>
      </c>
      <c r="G8" s="378" t="s">
        <v>63</v>
      </c>
      <c r="H8" s="378"/>
      <c r="I8" s="378" t="s">
        <v>6</v>
      </c>
      <c r="J8" s="378"/>
      <c r="K8" s="378"/>
    </row>
    <row r="9" spans="1:11" ht="49.5">
      <c r="A9" s="378"/>
      <c r="B9" s="378"/>
      <c r="C9" s="378"/>
      <c r="D9" s="245" t="s">
        <v>64</v>
      </c>
      <c r="E9" s="245" t="s">
        <v>65</v>
      </c>
      <c r="F9" s="378"/>
      <c r="G9" s="245" t="s">
        <v>64</v>
      </c>
      <c r="H9" s="245" t="s">
        <v>65</v>
      </c>
      <c r="I9" s="245" t="s">
        <v>287</v>
      </c>
      <c r="J9" s="245" t="s">
        <v>64</v>
      </c>
      <c r="K9" s="245" t="s">
        <v>65</v>
      </c>
    </row>
    <row r="10" spans="1:11">
      <c r="A10" s="245" t="s">
        <v>7</v>
      </c>
      <c r="B10" s="245" t="s">
        <v>24</v>
      </c>
      <c r="C10" s="245" t="s">
        <v>427</v>
      </c>
      <c r="D10" s="245">
        <v>2</v>
      </c>
      <c r="E10" s="245">
        <v>3</v>
      </c>
      <c r="F10" s="245" t="s">
        <v>428</v>
      </c>
      <c r="G10" s="245">
        <v>5</v>
      </c>
      <c r="H10" s="245">
        <v>6</v>
      </c>
      <c r="I10" s="245" t="s">
        <v>429</v>
      </c>
      <c r="J10" s="245" t="s">
        <v>430</v>
      </c>
      <c r="K10" s="245" t="s">
        <v>431</v>
      </c>
    </row>
    <row r="11" spans="1:11" ht="24.75" customHeight="1">
      <c r="A11" s="246"/>
      <c r="B11" s="247" t="s">
        <v>45</v>
      </c>
      <c r="C11" s="277">
        <f>C12+C28</f>
        <v>342953000000</v>
      </c>
      <c r="D11" s="277">
        <f t="shared" ref="D11:E11" si="0">D12+D28</f>
        <v>280701000000</v>
      </c>
      <c r="E11" s="277">
        <f t="shared" si="0"/>
        <v>62252000000</v>
      </c>
      <c r="F11" s="277">
        <f>F12+F28+F79+F80</f>
        <v>464000483694</v>
      </c>
      <c r="G11" s="277">
        <f>G12+G28+G79+G80</f>
        <v>386930832614</v>
      </c>
      <c r="H11" s="277">
        <f>H12+H28+H79+H80</f>
        <v>77069651080</v>
      </c>
      <c r="I11" s="278">
        <f>F11/C11</f>
        <v>1.3529564800249596</v>
      </c>
      <c r="J11" s="278">
        <f>G11/D11</f>
        <v>1.3784447957577637</v>
      </c>
      <c r="K11" s="278">
        <f>H11/E11</f>
        <v>1.238026908051147</v>
      </c>
    </row>
    <row r="12" spans="1:11">
      <c r="A12" s="250" t="s">
        <v>7</v>
      </c>
      <c r="B12" s="251" t="s">
        <v>8</v>
      </c>
      <c r="C12" s="279">
        <f>C13+C22+C26+C27</f>
        <v>300953000000</v>
      </c>
      <c r="D12" s="279">
        <f>D13+D22+D26+D27</f>
        <v>243171000000</v>
      </c>
      <c r="E12" s="279">
        <f>E13+E22+E26+E27</f>
        <v>57782000000</v>
      </c>
      <c r="F12" s="279">
        <f>F13+F22</f>
        <v>307686205892</v>
      </c>
      <c r="G12" s="279">
        <f t="shared" ref="G12:H12" si="1">G13+G22</f>
        <v>247773552182</v>
      </c>
      <c r="H12" s="279">
        <f t="shared" si="1"/>
        <v>59912653710</v>
      </c>
      <c r="I12" s="203">
        <f t="shared" ref="I12:I14" si="2">F12/C12</f>
        <v>1.0223729482410875</v>
      </c>
      <c r="J12" s="203">
        <f t="shared" ref="J12:J14" si="3">G12/D12</f>
        <v>1.0189272248006547</v>
      </c>
      <c r="K12" s="203">
        <f t="shared" ref="K12:K14" si="4">H12/E12</f>
        <v>1.0368740041881555</v>
      </c>
    </row>
    <row r="13" spans="1:11">
      <c r="A13" s="250" t="s">
        <v>9</v>
      </c>
      <c r="B13" s="251" t="s">
        <v>10</v>
      </c>
      <c r="C13" s="279">
        <f>C14+C21</f>
        <v>22990000000</v>
      </c>
      <c r="D13" s="279">
        <f>D14+D21</f>
        <v>22090000000</v>
      </c>
      <c r="E13" s="279">
        <f t="shared" ref="E13" si="5">E14+E21</f>
        <v>900000000</v>
      </c>
      <c r="F13" s="279">
        <f>F14+F21</f>
        <v>19346248981</v>
      </c>
      <c r="G13" s="279">
        <f t="shared" ref="G13:H13" si="6">G14+G21</f>
        <v>18907495540</v>
      </c>
      <c r="H13" s="279">
        <f t="shared" si="6"/>
        <v>438753441</v>
      </c>
      <c r="I13" s="203">
        <f t="shared" si="2"/>
        <v>0.84150713270987387</v>
      </c>
      <c r="J13" s="203">
        <f t="shared" si="3"/>
        <v>0.85593008329560882</v>
      </c>
      <c r="K13" s="203">
        <f t="shared" si="4"/>
        <v>0.48750382333333331</v>
      </c>
    </row>
    <row r="14" spans="1:11">
      <c r="A14" s="192" t="s">
        <v>11</v>
      </c>
      <c r="B14" s="193" t="s">
        <v>12</v>
      </c>
      <c r="C14" s="194">
        <f>SUM(D14:E14)</f>
        <v>22200000000</v>
      </c>
      <c r="D14" s="194">
        <f>8030000000+13270000000</f>
        <v>21300000000</v>
      </c>
      <c r="E14" s="194">
        <v>900000000</v>
      </c>
      <c r="F14" s="194">
        <f>SUM(G14:H14)</f>
        <v>19346248981</v>
      </c>
      <c r="G14" s="194">
        <v>18907495540</v>
      </c>
      <c r="H14" s="194">
        <v>438753441</v>
      </c>
      <c r="I14" s="195">
        <f t="shared" si="2"/>
        <v>0.87145265680180184</v>
      </c>
      <c r="J14" s="195">
        <f t="shared" si="3"/>
        <v>0.88767584694835677</v>
      </c>
      <c r="K14" s="195">
        <f t="shared" si="4"/>
        <v>0.48750382333333331</v>
      </c>
    </row>
    <row r="15" spans="1:11">
      <c r="A15" s="264" t="s">
        <v>437</v>
      </c>
      <c r="B15" s="193" t="s">
        <v>466</v>
      </c>
      <c r="C15" s="194"/>
      <c r="D15" s="194"/>
      <c r="E15" s="194"/>
      <c r="F15" s="194"/>
      <c r="G15" s="194"/>
      <c r="H15" s="194"/>
      <c r="I15" s="195"/>
      <c r="J15" s="195"/>
      <c r="K15" s="195"/>
    </row>
    <row r="16" spans="1:11" s="283" customFormat="1" ht="33">
      <c r="A16" s="280" t="s">
        <v>13</v>
      </c>
      <c r="B16" s="281" t="s">
        <v>14</v>
      </c>
      <c r="C16" s="282">
        <f>SUM(D16:E16)</f>
        <v>1867000000</v>
      </c>
      <c r="D16" s="282">
        <v>1867000000</v>
      </c>
      <c r="E16" s="282"/>
      <c r="F16" s="282">
        <f>SUM(G16:H16)</f>
        <v>4986517000</v>
      </c>
      <c r="G16" s="282">
        <v>4986517000</v>
      </c>
      <c r="H16" s="282"/>
      <c r="I16" s="204">
        <f t="shared" ref="I16:I69" si="7">F16/C16</f>
        <v>2.6708714515265131</v>
      </c>
      <c r="J16" s="204">
        <f t="shared" ref="J16:J68" si="8">G16/D16</f>
        <v>2.6708714515265131</v>
      </c>
      <c r="K16" s="204"/>
    </row>
    <row r="17" spans="1:11" s="283" customFormat="1">
      <c r="A17" s="280" t="s">
        <v>13</v>
      </c>
      <c r="B17" s="281" t="s">
        <v>15</v>
      </c>
      <c r="C17" s="282">
        <f>SUM(D17:E17)</f>
        <v>0</v>
      </c>
      <c r="D17" s="282"/>
      <c r="E17" s="282"/>
      <c r="F17" s="282">
        <f>SUM(G17:H17)</f>
        <v>0</v>
      </c>
      <c r="G17" s="282"/>
      <c r="H17" s="282"/>
      <c r="I17" s="204"/>
      <c r="J17" s="204"/>
      <c r="K17" s="204"/>
    </row>
    <row r="18" spans="1:11">
      <c r="A18" s="264" t="s">
        <v>437</v>
      </c>
      <c r="B18" s="193" t="s">
        <v>465</v>
      </c>
      <c r="C18" s="194"/>
      <c r="D18" s="194"/>
      <c r="E18" s="194"/>
      <c r="F18" s="194"/>
      <c r="G18" s="194"/>
      <c r="H18" s="194"/>
      <c r="I18" s="204"/>
      <c r="J18" s="204"/>
      <c r="K18" s="204"/>
    </row>
    <row r="19" spans="1:11" s="283" customFormat="1" ht="33">
      <c r="A19" s="280" t="s">
        <v>13</v>
      </c>
      <c r="B19" s="281" t="s">
        <v>288</v>
      </c>
      <c r="C19" s="282">
        <f>SUM(D19:E19)</f>
        <v>14170000000</v>
      </c>
      <c r="D19" s="282">
        <v>13270000000</v>
      </c>
      <c r="E19" s="282">
        <v>900000000</v>
      </c>
      <c r="F19" s="282">
        <f>SUM(G19:H19)</f>
        <v>8199580029</v>
      </c>
      <c r="G19" s="282">
        <v>7760826588</v>
      </c>
      <c r="H19" s="282">
        <v>438753441</v>
      </c>
      <c r="I19" s="204">
        <f t="shared" si="7"/>
        <v>0.57865772964008466</v>
      </c>
      <c r="J19" s="204">
        <f t="shared" si="8"/>
        <v>0.58483998402411452</v>
      </c>
      <c r="K19" s="204">
        <f t="shared" ref="K19:K69" si="9">H19/E19</f>
        <v>0.48750382333333331</v>
      </c>
    </row>
    <row r="20" spans="1:11" s="283" customFormat="1" ht="33">
      <c r="A20" s="280" t="s">
        <v>13</v>
      </c>
      <c r="B20" s="281" t="s">
        <v>16</v>
      </c>
      <c r="C20" s="282">
        <f>SUM(D20:E20)</f>
        <v>0</v>
      </c>
      <c r="D20" s="282"/>
      <c r="E20" s="282"/>
      <c r="F20" s="282">
        <f>SUM(G20:H20)</f>
        <v>0</v>
      </c>
      <c r="G20" s="282"/>
      <c r="H20" s="282"/>
      <c r="I20" s="195"/>
      <c r="J20" s="195"/>
      <c r="K20" s="195"/>
    </row>
    <row r="21" spans="1:11">
      <c r="A21" s="264" t="s">
        <v>19</v>
      </c>
      <c r="B21" s="193" t="s">
        <v>58</v>
      </c>
      <c r="C21" s="194">
        <f>SUM(D21:E21)</f>
        <v>790000000</v>
      </c>
      <c r="D21" s="194">
        <v>790000000</v>
      </c>
      <c r="E21" s="194"/>
      <c r="F21" s="194"/>
      <c r="G21" s="194"/>
      <c r="H21" s="194"/>
      <c r="I21" s="195">
        <f t="shared" si="7"/>
        <v>0</v>
      </c>
      <c r="J21" s="195">
        <f t="shared" si="8"/>
        <v>0</v>
      </c>
      <c r="K21" s="195"/>
    </row>
    <row r="22" spans="1:11">
      <c r="A22" s="250" t="s">
        <v>17</v>
      </c>
      <c r="B22" s="251" t="s">
        <v>18</v>
      </c>
      <c r="C22" s="279">
        <f>SUM(D22:E22)</f>
        <v>268607000000</v>
      </c>
      <c r="D22" s="279">
        <f>216241000000-D27</f>
        <v>213095000000</v>
      </c>
      <c r="E22" s="279">
        <f>55842000000-330000000</f>
        <v>55512000000</v>
      </c>
      <c r="F22" s="279">
        <f>G22+H22</f>
        <v>288339956911</v>
      </c>
      <c r="G22" s="279">
        <f>265618358565-G39-G37</f>
        <v>228866056642</v>
      </c>
      <c r="H22" s="279">
        <f>67095451668-H28</f>
        <v>59473900269</v>
      </c>
      <c r="I22" s="203">
        <f t="shared" si="7"/>
        <v>1.0734640456540596</v>
      </c>
      <c r="J22" s="203">
        <f t="shared" si="8"/>
        <v>1.0740095105093972</v>
      </c>
      <c r="K22" s="203">
        <f t="shared" si="9"/>
        <v>1.0713701590466926</v>
      </c>
    </row>
    <row r="23" spans="1:11">
      <c r="A23" s="250"/>
      <c r="B23" s="281" t="s">
        <v>236</v>
      </c>
      <c r="C23" s="279"/>
      <c r="D23" s="279"/>
      <c r="E23" s="279"/>
      <c r="F23" s="279"/>
      <c r="G23" s="279"/>
      <c r="H23" s="279"/>
      <c r="I23" s="195"/>
      <c r="J23" s="195"/>
      <c r="K23" s="195"/>
    </row>
    <row r="24" spans="1:11">
      <c r="A24" s="192" t="s">
        <v>11</v>
      </c>
      <c r="B24" s="193" t="s">
        <v>14</v>
      </c>
      <c r="C24" s="194">
        <f>SUM(D24:E24)</f>
        <v>155863000000</v>
      </c>
      <c r="D24" s="194">
        <v>155863000000</v>
      </c>
      <c r="E24" s="194"/>
      <c r="F24" s="194">
        <f>SUM(G24:H24)</f>
        <v>162142566654</v>
      </c>
      <c r="G24" s="194">
        <v>162094566654</v>
      </c>
      <c r="H24" s="194">
        <f>111550000-H64</f>
        <v>48000000</v>
      </c>
      <c r="I24" s="195">
        <f t="shared" si="7"/>
        <v>1.0402890144165069</v>
      </c>
      <c r="J24" s="195">
        <f t="shared" si="8"/>
        <v>1.0399810516543375</v>
      </c>
      <c r="K24" s="195"/>
    </row>
    <row r="25" spans="1:11">
      <c r="A25" s="192" t="s">
        <v>19</v>
      </c>
      <c r="B25" s="193" t="s">
        <v>15</v>
      </c>
      <c r="C25" s="194">
        <f>SUM(D25:E25)</f>
        <v>150000000</v>
      </c>
      <c r="D25" s="194">
        <v>150000000</v>
      </c>
      <c r="E25" s="194">
        <v>0</v>
      </c>
      <c r="F25" s="194">
        <f>SUM(G25:H25)</f>
        <v>148409000</v>
      </c>
      <c r="G25" s="194">
        <v>148409000</v>
      </c>
      <c r="H25" s="194"/>
      <c r="I25" s="195">
        <f t="shared" si="7"/>
        <v>0.98939333333333335</v>
      </c>
      <c r="J25" s="195">
        <f t="shared" si="8"/>
        <v>0.98939333333333335</v>
      </c>
      <c r="K25" s="195"/>
    </row>
    <row r="26" spans="1:11" s="258" customFormat="1">
      <c r="A26" s="250" t="s">
        <v>59</v>
      </c>
      <c r="B26" s="251" t="s">
        <v>21</v>
      </c>
      <c r="C26" s="279">
        <f>SUM(D26:E26)</f>
        <v>5880000000</v>
      </c>
      <c r="D26" s="279">
        <v>4840000000</v>
      </c>
      <c r="E26" s="279">
        <v>1040000000</v>
      </c>
      <c r="F26" s="279"/>
      <c r="G26" s="279"/>
      <c r="H26" s="279"/>
      <c r="I26" s="195">
        <f t="shared" si="7"/>
        <v>0</v>
      </c>
      <c r="J26" s="195">
        <f t="shared" si="8"/>
        <v>0</v>
      </c>
      <c r="K26" s="195">
        <f t="shared" si="9"/>
        <v>0</v>
      </c>
    </row>
    <row r="27" spans="1:11" s="258" customFormat="1" ht="33">
      <c r="A27" s="250" t="s">
        <v>60</v>
      </c>
      <c r="B27" s="251" t="s">
        <v>23</v>
      </c>
      <c r="C27" s="279">
        <f>SUM(D27:E27)</f>
        <v>3476000000</v>
      </c>
      <c r="D27" s="279">
        <v>3146000000</v>
      </c>
      <c r="E27" s="279">
        <v>330000000</v>
      </c>
      <c r="F27" s="279"/>
      <c r="G27" s="279"/>
      <c r="H27" s="279"/>
      <c r="I27" s="195">
        <f t="shared" si="7"/>
        <v>0</v>
      </c>
      <c r="J27" s="195">
        <f t="shared" si="8"/>
        <v>0</v>
      </c>
      <c r="K27" s="195">
        <f t="shared" si="9"/>
        <v>0</v>
      </c>
    </row>
    <row r="28" spans="1:11" s="258" customFormat="1" ht="33">
      <c r="A28" s="250" t="s">
        <v>24</v>
      </c>
      <c r="B28" s="251" t="s">
        <v>25</v>
      </c>
      <c r="C28" s="279">
        <f t="shared" ref="C28:H28" si="10">C29+C32</f>
        <v>42000000000</v>
      </c>
      <c r="D28" s="279">
        <f t="shared" si="10"/>
        <v>37530000000</v>
      </c>
      <c r="E28" s="279">
        <f t="shared" si="10"/>
        <v>4470000000</v>
      </c>
      <c r="F28" s="279">
        <f t="shared" si="10"/>
        <v>54193411534</v>
      </c>
      <c r="G28" s="279">
        <f t="shared" si="10"/>
        <v>46571860135</v>
      </c>
      <c r="H28" s="279">
        <f t="shared" si="10"/>
        <v>7621551399</v>
      </c>
      <c r="I28" s="203">
        <f t="shared" si="7"/>
        <v>1.2903193222380953</v>
      </c>
      <c r="J28" s="203">
        <f t="shared" si="8"/>
        <v>1.2409235314415135</v>
      </c>
      <c r="K28" s="203">
        <f t="shared" si="9"/>
        <v>1.7050450557046979</v>
      </c>
    </row>
    <row r="29" spans="1:11" s="258" customFormat="1" ht="33">
      <c r="A29" s="250" t="s">
        <v>9</v>
      </c>
      <c r="B29" s="251" t="s">
        <v>26</v>
      </c>
      <c r="C29" s="279">
        <f t="shared" ref="C29:H29" si="11">C30+C31</f>
        <v>0</v>
      </c>
      <c r="D29" s="279">
        <f t="shared" si="11"/>
        <v>0</v>
      </c>
      <c r="E29" s="279">
        <f t="shared" si="11"/>
        <v>0</v>
      </c>
      <c r="F29" s="279">
        <f t="shared" si="11"/>
        <v>240644072</v>
      </c>
      <c r="G29" s="279">
        <f t="shared" si="11"/>
        <v>28644072</v>
      </c>
      <c r="H29" s="279">
        <f t="shared" si="11"/>
        <v>212000000</v>
      </c>
      <c r="I29" s="195"/>
      <c r="J29" s="195"/>
      <c r="K29" s="195"/>
    </row>
    <row r="30" spans="1:11" ht="33">
      <c r="A30" s="192">
        <v>1</v>
      </c>
      <c r="B30" s="193" t="s">
        <v>282</v>
      </c>
      <c r="C30" s="194"/>
      <c r="D30" s="194"/>
      <c r="E30" s="194"/>
      <c r="F30" s="194">
        <f>G30+H30</f>
        <v>18144072</v>
      </c>
      <c r="G30" s="194">
        <v>18144072</v>
      </c>
      <c r="H30" s="194"/>
      <c r="I30" s="195"/>
      <c r="J30" s="195"/>
      <c r="K30" s="195"/>
    </row>
    <row r="31" spans="1:11" ht="33">
      <c r="A31" s="192">
        <v>2</v>
      </c>
      <c r="B31" s="193" t="s">
        <v>283</v>
      </c>
      <c r="C31" s="194"/>
      <c r="D31" s="194"/>
      <c r="E31" s="194"/>
      <c r="F31" s="194">
        <f>G31+H31</f>
        <v>222500000</v>
      </c>
      <c r="G31" s="194">
        <v>10500000</v>
      </c>
      <c r="H31" s="194">
        <v>212000000</v>
      </c>
      <c r="I31" s="195"/>
      <c r="J31" s="195"/>
      <c r="K31" s="195"/>
    </row>
    <row r="32" spans="1:11" s="258" customFormat="1" ht="33">
      <c r="A32" s="250" t="s">
        <v>17</v>
      </c>
      <c r="B32" s="251" t="s">
        <v>187</v>
      </c>
      <c r="C32" s="279">
        <f>C33+C39</f>
        <v>42000000000</v>
      </c>
      <c r="D32" s="279">
        <f t="shared" ref="D32:H32" si="12">D33+D39</f>
        <v>37530000000</v>
      </c>
      <c r="E32" s="279">
        <f t="shared" si="12"/>
        <v>4470000000</v>
      </c>
      <c r="F32" s="279">
        <f>F33+F39</f>
        <v>53952767462</v>
      </c>
      <c r="G32" s="279">
        <f t="shared" si="12"/>
        <v>46543216063</v>
      </c>
      <c r="H32" s="279">
        <f t="shared" si="12"/>
        <v>7409551399</v>
      </c>
      <c r="I32" s="203">
        <f t="shared" si="7"/>
        <v>1.2845897014761904</v>
      </c>
      <c r="J32" s="203">
        <f t="shared" si="8"/>
        <v>1.2401603001065813</v>
      </c>
      <c r="K32" s="203">
        <f t="shared" si="9"/>
        <v>1.657617762639821</v>
      </c>
    </row>
    <row r="33" spans="1:11" s="199" customFormat="1" ht="17.25">
      <c r="A33" s="189" t="s">
        <v>467</v>
      </c>
      <c r="B33" s="185" t="s">
        <v>468</v>
      </c>
      <c r="C33" s="197">
        <f>SUM(C34:C38)</f>
        <v>9700000000</v>
      </c>
      <c r="D33" s="197">
        <f t="shared" ref="D33:H33" si="13">SUM(D34:D38)</f>
        <v>9700000000</v>
      </c>
      <c r="E33" s="197">
        <f t="shared" ref="E33" si="14">SUM(E34:E38)</f>
        <v>0</v>
      </c>
      <c r="F33" s="197">
        <f>SUM(F34:F38)</f>
        <v>10790914140</v>
      </c>
      <c r="G33" s="197">
        <f t="shared" ref="G33" si="15">SUM(G34:G38)</f>
        <v>10790914140</v>
      </c>
      <c r="H33" s="197">
        <f t="shared" si="13"/>
        <v>0</v>
      </c>
      <c r="I33" s="198">
        <f t="shared" si="7"/>
        <v>1.112465375257732</v>
      </c>
      <c r="J33" s="198">
        <f t="shared" si="8"/>
        <v>1.112465375257732</v>
      </c>
      <c r="K33" s="195"/>
    </row>
    <row r="34" spans="1:11" ht="33">
      <c r="A34" s="156" t="s">
        <v>11</v>
      </c>
      <c r="B34" s="153" t="s">
        <v>473</v>
      </c>
      <c r="C34" s="194">
        <f>SUM(D34:E34)</f>
        <v>2780000000</v>
      </c>
      <c r="D34" s="194">
        <v>2780000000</v>
      </c>
      <c r="E34" s="194"/>
      <c r="F34" s="194">
        <f>SUM(G34:H34)</f>
        <v>1978700000</v>
      </c>
      <c r="G34" s="194">
        <v>1978700000</v>
      </c>
      <c r="H34" s="194"/>
      <c r="I34" s="195">
        <f t="shared" si="7"/>
        <v>0.71176258992805752</v>
      </c>
      <c r="J34" s="195">
        <f t="shared" si="8"/>
        <v>0.71176258992805752</v>
      </c>
      <c r="K34" s="195"/>
    </row>
    <row r="35" spans="1:11">
      <c r="A35" s="156" t="s">
        <v>19</v>
      </c>
      <c r="B35" s="153" t="s">
        <v>476</v>
      </c>
      <c r="C35" s="194">
        <f t="shared" ref="C35:C38" si="16">SUM(D35:E35)</f>
        <v>920000000</v>
      </c>
      <c r="D35" s="194">
        <v>920000000</v>
      </c>
      <c r="E35" s="194"/>
      <c r="F35" s="194">
        <f t="shared" ref="F35:F38" si="17">SUM(G35:H35)</f>
        <v>574565500</v>
      </c>
      <c r="G35" s="194">
        <v>574565500</v>
      </c>
      <c r="H35" s="194"/>
      <c r="I35" s="195">
        <f t="shared" si="7"/>
        <v>0.6245277173913043</v>
      </c>
      <c r="J35" s="195">
        <f t="shared" si="8"/>
        <v>0.6245277173913043</v>
      </c>
      <c r="K35" s="195"/>
    </row>
    <row r="36" spans="1:11" ht="33">
      <c r="A36" s="156" t="s">
        <v>28</v>
      </c>
      <c r="B36" s="153" t="s">
        <v>478</v>
      </c>
      <c r="C36" s="194">
        <f t="shared" si="16"/>
        <v>5000000000</v>
      </c>
      <c r="D36" s="194">
        <v>5000000000</v>
      </c>
      <c r="E36" s="194"/>
      <c r="F36" s="194">
        <f t="shared" si="17"/>
        <v>4647023574</v>
      </c>
      <c r="G36" s="194">
        <v>4647023574</v>
      </c>
      <c r="H36" s="194"/>
      <c r="I36" s="195">
        <f t="shared" si="7"/>
        <v>0.92940471479999998</v>
      </c>
      <c r="J36" s="195">
        <f t="shared" si="8"/>
        <v>0.92940471479999998</v>
      </c>
      <c r="K36" s="195"/>
    </row>
    <row r="37" spans="1:11" ht="115.5">
      <c r="A37" s="156" t="s">
        <v>29</v>
      </c>
      <c r="B37" s="153" t="s">
        <v>481</v>
      </c>
      <c r="C37" s="194">
        <f t="shared" si="16"/>
        <v>1000000000</v>
      </c>
      <c r="D37" s="194">
        <v>1000000000</v>
      </c>
      <c r="E37" s="194"/>
      <c r="F37" s="194">
        <f t="shared" si="17"/>
        <v>1000000000</v>
      </c>
      <c r="G37" s="194">
        <v>1000000000</v>
      </c>
      <c r="H37" s="194"/>
      <c r="I37" s="195">
        <f t="shared" si="7"/>
        <v>1</v>
      </c>
      <c r="J37" s="195">
        <f t="shared" si="8"/>
        <v>1</v>
      </c>
      <c r="K37" s="195"/>
    </row>
    <row r="38" spans="1:11" ht="33">
      <c r="A38" s="156" t="s">
        <v>30</v>
      </c>
      <c r="B38" s="284" t="s">
        <v>483</v>
      </c>
      <c r="C38" s="194">
        <f t="shared" si="16"/>
        <v>0</v>
      </c>
      <c r="D38" s="285"/>
      <c r="E38" s="194"/>
      <c r="F38" s="194">
        <f t="shared" si="17"/>
        <v>2590625066</v>
      </c>
      <c r="G38" s="194">
        <v>2590625066</v>
      </c>
      <c r="H38" s="194"/>
      <c r="I38" s="195"/>
      <c r="J38" s="195"/>
      <c r="K38" s="195"/>
    </row>
    <row r="39" spans="1:11" s="199" customFormat="1" ht="17.25">
      <c r="A39" s="189" t="s">
        <v>469</v>
      </c>
      <c r="B39" s="200" t="s">
        <v>470</v>
      </c>
      <c r="C39" s="197">
        <f t="shared" ref="C39:H39" si="18">SUM(C40:C78)</f>
        <v>32300000000</v>
      </c>
      <c r="D39" s="197">
        <f t="shared" si="18"/>
        <v>27830000000</v>
      </c>
      <c r="E39" s="197">
        <f t="shared" si="18"/>
        <v>4470000000</v>
      </c>
      <c r="F39" s="197">
        <f t="shared" si="18"/>
        <v>43161853322</v>
      </c>
      <c r="G39" s="197">
        <f t="shared" si="18"/>
        <v>35752301923</v>
      </c>
      <c r="H39" s="197">
        <f t="shared" si="18"/>
        <v>7409551399</v>
      </c>
      <c r="I39" s="198">
        <f t="shared" si="7"/>
        <v>1.3362802886068113</v>
      </c>
      <c r="J39" s="198">
        <f t="shared" si="8"/>
        <v>1.284667693963349</v>
      </c>
      <c r="K39" s="198">
        <f t="shared" si="9"/>
        <v>1.657617762639821</v>
      </c>
    </row>
    <row r="40" spans="1:11" ht="49.5">
      <c r="A40" s="156" t="s">
        <v>11</v>
      </c>
      <c r="B40" s="153" t="s">
        <v>520</v>
      </c>
      <c r="C40" s="194">
        <f t="shared" ref="C40:C41" si="19">SUM(D40:E40)</f>
        <v>3440000000</v>
      </c>
      <c r="D40" s="154">
        <v>3440000000</v>
      </c>
      <c r="E40" s="194"/>
      <c r="F40" s="194">
        <f t="shared" ref="F40:F41" si="20">SUM(G40:H40)</f>
        <v>7157000000</v>
      </c>
      <c r="G40" s="194">
        <v>7157000000</v>
      </c>
      <c r="H40" s="194"/>
      <c r="I40" s="195">
        <f t="shared" si="7"/>
        <v>2.0805232558139535</v>
      </c>
      <c r="J40" s="195">
        <f t="shared" si="8"/>
        <v>2.0805232558139535</v>
      </c>
      <c r="K40" s="195"/>
    </row>
    <row r="41" spans="1:11" ht="66">
      <c r="A41" s="156" t="s">
        <v>19</v>
      </c>
      <c r="B41" s="153" t="s">
        <v>521</v>
      </c>
      <c r="C41" s="194">
        <f t="shared" si="19"/>
        <v>5720000000</v>
      </c>
      <c r="D41" s="154">
        <f>1782000000+3938000000</f>
        <v>5720000000</v>
      </c>
      <c r="E41" s="194"/>
      <c r="F41" s="194">
        <f t="shared" si="20"/>
        <v>4761252525</v>
      </c>
      <c r="G41" s="194">
        <f>1782000000+2979252525</f>
        <v>4761252525</v>
      </c>
      <c r="H41" s="194"/>
      <c r="I41" s="195">
        <f t="shared" si="7"/>
        <v>0.83238680506993012</v>
      </c>
      <c r="J41" s="195">
        <f t="shared" si="8"/>
        <v>0.83238680506993012</v>
      </c>
      <c r="K41" s="195"/>
    </row>
    <row r="42" spans="1:11" ht="66">
      <c r="A42" s="156" t="s">
        <v>28</v>
      </c>
      <c r="B42" s="153" t="s">
        <v>522</v>
      </c>
      <c r="C42" s="194">
        <f t="shared" ref="C42:C78" si="21">SUM(D42:E42)</f>
        <v>1447000000</v>
      </c>
      <c r="D42" s="154">
        <f>400000000+1047000000</f>
        <v>1447000000</v>
      </c>
      <c r="E42" s="194"/>
      <c r="F42" s="194">
        <f t="shared" ref="F42:F78" si="22">SUM(G42:H42)</f>
        <v>400000000</v>
      </c>
      <c r="G42" s="194">
        <v>400000000</v>
      </c>
      <c r="H42" s="194"/>
      <c r="I42" s="195">
        <f t="shared" si="7"/>
        <v>0.27643400138217</v>
      </c>
      <c r="J42" s="195">
        <f t="shared" si="8"/>
        <v>0.27643400138217</v>
      </c>
      <c r="K42" s="195"/>
    </row>
    <row r="43" spans="1:11" ht="66">
      <c r="A43" s="156" t="s">
        <v>29</v>
      </c>
      <c r="B43" s="153" t="s">
        <v>490</v>
      </c>
      <c r="C43" s="194">
        <f t="shared" si="21"/>
        <v>806000000</v>
      </c>
      <c r="D43" s="154">
        <f>257000000+549000000</f>
        <v>806000000</v>
      </c>
      <c r="E43" s="194"/>
      <c r="F43" s="194">
        <f t="shared" si="22"/>
        <v>280485320</v>
      </c>
      <c r="G43" s="194">
        <f>257000000+23485320</f>
        <v>280485320</v>
      </c>
      <c r="H43" s="194"/>
      <c r="I43" s="195">
        <f t="shared" si="7"/>
        <v>0.34799667493796527</v>
      </c>
      <c r="J43" s="195">
        <f t="shared" si="8"/>
        <v>0.34799667493796527</v>
      </c>
      <c r="K43" s="195"/>
    </row>
    <row r="44" spans="1:11" ht="49.5">
      <c r="A44" s="156" t="s">
        <v>30</v>
      </c>
      <c r="B44" s="153" t="s">
        <v>491</v>
      </c>
      <c r="C44" s="194">
        <f t="shared" si="21"/>
        <v>10000000</v>
      </c>
      <c r="D44" s="154">
        <v>10000000</v>
      </c>
      <c r="E44" s="194"/>
      <c r="F44" s="194">
        <f t="shared" si="22"/>
        <v>44000000</v>
      </c>
      <c r="G44" s="194">
        <v>44000000</v>
      </c>
      <c r="H44" s="194"/>
      <c r="I44" s="195">
        <f t="shared" si="7"/>
        <v>4.4000000000000004</v>
      </c>
      <c r="J44" s="195">
        <f t="shared" si="8"/>
        <v>4.4000000000000004</v>
      </c>
      <c r="K44" s="195"/>
    </row>
    <row r="45" spans="1:11" ht="33">
      <c r="A45" s="156" t="s">
        <v>31</v>
      </c>
      <c r="B45" s="153" t="s">
        <v>492</v>
      </c>
      <c r="C45" s="194">
        <f t="shared" si="21"/>
        <v>85000000</v>
      </c>
      <c r="D45" s="154">
        <v>85000000</v>
      </c>
      <c r="E45" s="194"/>
      <c r="F45" s="194">
        <f t="shared" si="22"/>
        <v>164000000</v>
      </c>
      <c r="G45" s="194">
        <v>164000000</v>
      </c>
      <c r="H45" s="194"/>
      <c r="I45" s="195">
        <f t="shared" si="7"/>
        <v>1.9294117647058824</v>
      </c>
      <c r="J45" s="195">
        <f t="shared" si="8"/>
        <v>1.9294117647058824</v>
      </c>
      <c r="K45" s="195"/>
    </row>
    <row r="46" spans="1:11" ht="66">
      <c r="A46" s="156" t="s">
        <v>32</v>
      </c>
      <c r="B46" s="153" t="s">
        <v>541</v>
      </c>
      <c r="C46" s="194">
        <f t="shared" si="21"/>
        <v>850000000</v>
      </c>
      <c r="D46" s="154">
        <v>850000000</v>
      </c>
      <c r="E46" s="194"/>
      <c r="F46" s="194">
        <f t="shared" si="22"/>
        <v>1250000000</v>
      </c>
      <c r="G46" s="194">
        <v>1250000000</v>
      </c>
      <c r="H46" s="194"/>
      <c r="I46" s="195">
        <f t="shared" si="7"/>
        <v>1.4705882352941178</v>
      </c>
      <c r="J46" s="195">
        <f t="shared" si="8"/>
        <v>1.4705882352941178</v>
      </c>
      <c r="K46" s="195"/>
    </row>
    <row r="47" spans="1:11" ht="82.5">
      <c r="A47" s="156" t="s">
        <v>33</v>
      </c>
      <c r="B47" s="153" t="s">
        <v>542</v>
      </c>
      <c r="C47" s="194">
        <f t="shared" si="21"/>
        <v>1339000000</v>
      </c>
      <c r="D47" s="154">
        <v>1339000000</v>
      </c>
      <c r="E47" s="194"/>
      <c r="F47" s="194">
        <f t="shared" si="22"/>
        <v>1930431000</v>
      </c>
      <c r="G47" s="194">
        <v>1930431000</v>
      </c>
      <c r="H47" s="194"/>
      <c r="I47" s="195">
        <f t="shared" si="7"/>
        <v>1.4416960418222555</v>
      </c>
      <c r="J47" s="195">
        <f t="shared" si="8"/>
        <v>1.4416960418222555</v>
      </c>
      <c r="K47" s="195"/>
    </row>
    <row r="48" spans="1:11" ht="49.5">
      <c r="A48" s="156" t="s">
        <v>34</v>
      </c>
      <c r="B48" s="153" t="s">
        <v>493</v>
      </c>
      <c r="C48" s="194">
        <f t="shared" si="21"/>
        <v>135000000</v>
      </c>
      <c r="D48" s="154">
        <v>135000000</v>
      </c>
      <c r="E48" s="194"/>
      <c r="F48" s="194">
        <f t="shared" si="22"/>
        <v>199900000</v>
      </c>
      <c r="G48" s="194">
        <v>199900000</v>
      </c>
      <c r="H48" s="194"/>
      <c r="I48" s="195">
        <f t="shared" si="7"/>
        <v>1.4807407407407407</v>
      </c>
      <c r="J48" s="195">
        <f t="shared" si="8"/>
        <v>1.4807407407407407</v>
      </c>
      <c r="K48" s="195"/>
    </row>
    <row r="49" spans="1:12" ht="49.5">
      <c r="A49" s="156" t="s">
        <v>35</v>
      </c>
      <c r="B49" s="153" t="s">
        <v>495</v>
      </c>
      <c r="C49" s="194">
        <f t="shared" si="21"/>
        <v>90000000</v>
      </c>
      <c r="D49" s="154">
        <v>90000000</v>
      </c>
      <c r="E49" s="194"/>
      <c r="F49" s="194">
        <f t="shared" si="22"/>
        <v>90000000</v>
      </c>
      <c r="G49" s="194">
        <v>90000000</v>
      </c>
      <c r="H49" s="194"/>
      <c r="I49" s="195">
        <f t="shared" si="7"/>
        <v>1</v>
      </c>
      <c r="J49" s="195">
        <f t="shared" si="8"/>
        <v>1</v>
      </c>
      <c r="K49" s="195"/>
    </row>
    <row r="50" spans="1:12" ht="49.5">
      <c r="A50" s="156" t="s">
        <v>36</v>
      </c>
      <c r="B50" s="161" t="s">
        <v>496</v>
      </c>
      <c r="C50" s="194">
        <f t="shared" si="21"/>
        <v>89000000</v>
      </c>
      <c r="D50" s="154">
        <v>89000000</v>
      </c>
      <c r="E50" s="194"/>
      <c r="F50" s="194">
        <f t="shared" si="22"/>
        <v>89000000</v>
      </c>
      <c r="G50" s="194">
        <v>89000000</v>
      </c>
      <c r="H50" s="194"/>
      <c r="I50" s="195">
        <f t="shared" si="7"/>
        <v>1</v>
      </c>
      <c r="J50" s="195">
        <f t="shared" si="8"/>
        <v>1</v>
      </c>
      <c r="K50" s="195"/>
    </row>
    <row r="51" spans="1:12" ht="33">
      <c r="A51" s="156" t="s">
        <v>37</v>
      </c>
      <c r="B51" s="161" t="s">
        <v>524</v>
      </c>
      <c r="C51" s="194">
        <f t="shared" si="21"/>
        <v>0</v>
      </c>
      <c r="D51" s="154"/>
      <c r="E51" s="194"/>
      <c r="F51" s="194">
        <f t="shared" si="22"/>
        <v>1372855400</v>
      </c>
      <c r="G51" s="194">
        <v>583856000</v>
      </c>
      <c r="H51" s="194">
        <v>788999400</v>
      </c>
      <c r="I51" s="195"/>
      <c r="J51" s="195"/>
      <c r="K51" s="195"/>
    </row>
    <row r="52" spans="1:12" ht="49.5">
      <c r="A52" s="156" t="s">
        <v>38</v>
      </c>
      <c r="B52" s="161" t="s">
        <v>525</v>
      </c>
      <c r="C52" s="194">
        <f t="shared" si="21"/>
        <v>0</v>
      </c>
      <c r="D52" s="154"/>
      <c r="E52" s="194"/>
      <c r="F52" s="194">
        <f t="shared" si="22"/>
        <v>177000000</v>
      </c>
      <c r="G52" s="194">
        <v>177000000</v>
      </c>
      <c r="H52" s="194"/>
      <c r="I52" s="195"/>
      <c r="J52" s="195"/>
      <c r="K52" s="195"/>
    </row>
    <row r="53" spans="1:12" ht="49.5">
      <c r="A53" s="156" t="s">
        <v>39</v>
      </c>
      <c r="B53" s="161" t="s">
        <v>501</v>
      </c>
      <c r="C53" s="194">
        <f t="shared" si="21"/>
        <v>845000000</v>
      </c>
      <c r="D53" s="154">
        <v>845000000</v>
      </c>
      <c r="E53" s="194"/>
      <c r="F53" s="194">
        <f t="shared" si="22"/>
        <v>845000000</v>
      </c>
      <c r="G53" s="194">
        <v>845000000</v>
      </c>
      <c r="H53" s="194"/>
      <c r="I53" s="195">
        <f t="shared" si="7"/>
        <v>1</v>
      </c>
      <c r="J53" s="195">
        <f t="shared" si="8"/>
        <v>1</v>
      </c>
      <c r="K53" s="195"/>
    </row>
    <row r="54" spans="1:12" ht="33">
      <c r="A54" s="156" t="s">
        <v>40</v>
      </c>
      <c r="B54" s="153" t="s">
        <v>504</v>
      </c>
      <c r="C54" s="194">
        <f t="shared" ref="C54:C76" si="23">SUM(D54:E54)</f>
        <v>6873000000</v>
      </c>
      <c r="D54" s="154">
        <v>6873000000</v>
      </c>
      <c r="E54" s="194"/>
      <c r="F54" s="194">
        <f t="shared" ref="F54:F76" si="24">SUM(G54:H54)</f>
        <v>6873000000</v>
      </c>
      <c r="G54" s="194">
        <v>6873000000</v>
      </c>
      <c r="H54" s="194"/>
      <c r="I54" s="195">
        <f t="shared" si="7"/>
        <v>1</v>
      </c>
      <c r="J54" s="195">
        <f t="shared" si="8"/>
        <v>1</v>
      </c>
      <c r="K54" s="195"/>
    </row>
    <row r="55" spans="1:12" ht="33">
      <c r="A55" s="156" t="s">
        <v>41</v>
      </c>
      <c r="B55" s="153" t="s">
        <v>505</v>
      </c>
      <c r="C55" s="194">
        <f t="shared" si="23"/>
        <v>500000000</v>
      </c>
      <c r="D55" s="154">
        <v>500000000</v>
      </c>
      <c r="E55" s="194"/>
      <c r="F55" s="194">
        <f t="shared" si="24"/>
        <v>500000000</v>
      </c>
      <c r="G55" s="194"/>
      <c r="H55" s="194">
        <v>500000000</v>
      </c>
      <c r="I55" s="195">
        <f t="shared" si="7"/>
        <v>1</v>
      </c>
      <c r="J55" s="195">
        <f t="shared" si="8"/>
        <v>0</v>
      </c>
      <c r="K55" s="195"/>
    </row>
    <row r="56" spans="1:12">
      <c r="A56" s="156" t="s">
        <v>71</v>
      </c>
      <c r="B56" s="153" t="s">
        <v>506</v>
      </c>
      <c r="C56" s="194">
        <f t="shared" si="23"/>
        <v>1800000000</v>
      </c>
      <c r="D56" s="154"/>
      <c r="E56" s="194">
        <v>1800000000</v>
      </c>
      <c r="F56" s="194">
        <f t="shared" si="24"/>
        <v>1699609395</v>
      </c>
      <c r="G56" s="194"/>
      <c r="H56" s="194">
        <v>1699609395</v>
      </c>
      <c r="I56" s="195">
        <f t="shared" si="7"/>
        <v>0.94422744166666661</v>
      </c>
      <c r="J56" s="195"/>
      <c r="K56" s="195">
        <f t="shared" si="9"/>
        <v>0.94422744166666661</v>
      </c>
    </row>
    <row r="57" spans="1:12" ht="33">
      <c r="A57" s="156" t="s">
        <v>72</v>
      </c>
      <c r="B57" s="153" t="s">
        <v>507</v>
      </c>
      <c r="C57" s="194">
        <f t="shared" si="23"/>
        <v>300000000</v>
      </c>
      <c r="D57" s="154">
        <v>120000000</v>
      </c>
      <c r="E57" s="194">
        <v>180000000</v>
      </c>
      <c r="F57" s="194">
        <f t="shared" si="24"/>
        <v>167689600</v>
      </c>
      <c r="G57" s="194"/>
      <c r="H57" s="194">
        <v>167689600</v>
      </c>
      <c r="I57" s="195">
        <f t="shared" si="7"/>
        <v>0.55896533333333331</v>
      </c>
      <c r="J57" s="195">
        <f t="shared" si="8"/>
        <v>0</v>
      </c>
      <c r="K57" s="195">
        <f t="shared" si="9"/>
        <v>0.93160888888888893</v>
      </c>
      <c r="L57" s="286">
        <f>D57-H57</f>
        <v>-47689600</v>
      </c>
    </row>
    <row r="58" spans="1:12" ht="49.5">
      <c r="A58" s="156" t="s">
        <v>73</v>
      </c>
      <c r="B58" s="153" t="s">
        <v>508</v>
      </c>
      <c r="C58" s="194">
        <f t="shared" si="23"/>
        <v>34000000</v>
      </c>
      <c r="D58" s="154">
        <v>34000000</v>
      </c>
      <c r="E58" s="194"/>
      <c r="F58" s="194">
        <f t="shared" si="24"/>
        <v>34000000</v>
      </c>
      <c r="G58" s="194">
        <v>34000000</v>
      </c>
      <c r="H58" s="194"/>
      <c r="I58" s="195">
        <f t="shared" si="7"/>
        <v>1</v>
      </c>
      <c r="J58" s="195">
        <f t="shared" si="8"/>
        <v>1</v>
      </c>
      <c r="K58" s="195"/>
    </row>
    <row r="59" spans="1:12" ht="99">
      <c r="A59" s="156" t="s">
        <v>74</v>
      </c>
      <c r="B59" s="153" t="s">
        <v>509</v>
      </c>
      <c r="C59" s="194">
        <f t="shared" si="23"/>
        <v>280000000</v>
      </c>
      <c r="D59" s="154"/>
      <c r="E59" s="194">
        <v>280000000</v>
      </c>
      <c r="F59" s="194">
        <f t="shared" si="24"/>
        <v>280000000</v>
      </c>
      <c r="G59" s="194"/>
      <c r="H59" s="194">
        <v>280000000</v>
      </c>
      <c r="I59" s="195">
        <f t="shared" si="7"/>
        <v>1</v>
      </c>
      <c r="J59" s="195"/>
      <c r="K59" s="195">
        <f t="shared" si="9"/>
        <v>1</v>
      </c>
    </row>
    <row r="60" spans="1:12" ht="49.5">
      <c r="A60" s="156" t="s">
        <v>75</v>
      </c>
      <c r="B60" s="153" t="s">
        <v>510</v>
      </c>
      <c r="C60" s="194">
        <f t="shared" si="23"/>
        <v>413000000</v>
      </c>
      <c r="D60" s="154">
        <v>413000000</v>
      </c>
      <c r="E60" s="194"/>
      <c r="F60" s="194">
        <f t="shared" si="24"/>
        <v>413000000</v>
      </c>
      <c r="G60" s="194">
        <v>413000000</v>
      </c>
      <c r="H60" s="194"/>
      <c r="I60" s="195">
        <f t="shared" si="7"/>
        <v>1</v>
      </c>
      <c r="J60" s="195">
        <f t="shared" si="8"/>
        <v>1</v>
      </c>
      <c r="K60" s="195"/>
    </row>
    <row r="61" spans="1:12" ht="33">
      <c r="A61" s="156" t="s">
        <v>76</v>
      </c>
      <c r="B61" s="153" t="s">
        <v>511</v>
      </c>
      <c r="C61" s="194">
        <f t="shared" si="23"/>
        <v>330000000</v>
      </c>
      <c r="D61" s="154"/>
      <c r="E61" s="194">
        <v>330000000</v>
      </c>
      <c r="F61" s="194">
        <f t="shared" si="24"/>
        <v>195328904</v>
      </c>
      <c r="G61" s="194"/>
      <c r="H61" s="194">
        <v>195328904</v>
      </c>
      <c r="I61" s="195">
        <f t="shared" si="7"/>
        <v>0.59190576969696973</v>
      </c>
      <c r="J61" s="195"/>
      <c r="K61" s="195">
        <f t="shared" si="9"/>
        <v>0.59190576969696973</v>
      </c>
    </row>
    <row r="62" spans="1:12" ht="33">
      <c r="A62" s="156" t="s">
        <v>77</v>
      </c>
      <c r="B62" s="153" t="s">
        <v>512</v>
      </c>
      <c r="C62" s="194">
        <f t="shared" si="23"/>
        <v>110000000</v>
      </c>
      <c r="D62" s="154">
        <v>110000000</v>
      </c>
      <c r="E62" s="194"/>
      <c r="F62" s="194">
        <f t="shared" si="24"/>
        <v>110000000</v>
      </c>
      <c r="G62" s="194">
        <v>110000000</v>
      </c>
      <c r="H62" s="194"/>
      <c r="I62" s="195">
        <f t="shared" si="7"/>
        <v>1</v>
      </c>
      <c r="J62" s="195">
        <f t="shared" si="8"/>
        <v>1</v>
      </c>
      <c r="K62" s="195"/>
    </row>
    <row r="63" spans="1:12" ht="33">
      <c r="A63" s="156" t="s">
        <v>78</v>
      </c>
      <c r="B63" s="153" t="s">
        <v>513</v>
      </c>
      <c r="C63" s="194">
        <f t="shared" si="23"/>
        <v>2000000000</v>
      </c>
      <c r="D63" s="154">
        <v>2000000000</v>
      </c>
      <c r="E63" s="194"/>
      <c r="F63" s="194">
        <f t="shared" si="24"/>
        <v>1909108078</v>
      </c>
      <c r="G63" s="194">
        <v>1909108078</v>
      </c>
      <c r="H63" s="194"/>
      <c r="I63" s="195">
        <f t="shared" si="7"/>
        <v>0.95455403900000002</v>
      </c>
      <c r="J63" s="195">
        <f t="shared" si="8"/>
        <v>0.95455403900000002</v>
      </c>
      <c r="K63" s="195"/>
    </row>
    <row r="64" spans="1:12" ht="99">
      <c r="A64" s="156" t="s">
        <v>79</v>
      </c>
      <c r="B64" s="153" t="s">
        <v>514</v>
      </c>
      <c r="C64" s="194">
        <f t="shared" si="23"/>
        <v>90000000</v>
      </c>
      <c r="D64" s="154"/>
      <c r="E64" s="194">
        <v>90000000</v>
      </c>
      <c r="F64" s="194">
        <f t="shared" si="24"/>
        <v>63550000</v>
      </c>
      <c r="G64" s="194"/>
      <c r="H64" s="194">
        <v>63550000</v>
      </c>
      <c r="I64" s="195">
        <f t="shared" si="7"/>
        <v>0.70611111111111113</v>
      </c>
      <c r="J64" s="195"/>
      <c r="K64" s="195">
        <f t="shared" si="9"/>
        <v>0.70611111111111113</v>
      </c>
    </row>
    <row r="65" spans="1:12" ht="33">
      <c r="A65" s="156" t="s">
        <v>80</v>
      </c>
      <c r="B65" s="153" t="s">
        <v>515</v>
      </c>
      <c r="C65" s="194">
        <f t="shared" si="23"/>
        <v>400000000</v>
      </c>
      <c r="D65" s="154">
        <v>400000000</v>
      </c>
      <c r="E65" s="194"/>
      <c r="F65" s="194">
        <f t="shared" si="24"/>
        <v>400000000</v>
      </c>
      <c r="G65" s="194">
        <v>400000000</v>
      </c>
      <c r="H65" s="194"/>
      <c r="I65" s="195">
        <f t="shared" si="7"/>
        <v>1</v>
      </c>
      <c r="J65" s="195">
        <f t="shared" si="8"/>
        <v>1</v>
      </c>
      <c r="K65" s="195"/>
    </row>
    <row r="66" spans="1:12" ht="33">
      <c r="A66" s="156" t="s">
        <v>81</v>
      </c>
      <c r="B66" s="153" t="s">
        <v>516</v>
      </c>
      <c r="C66" s="194">
        <f t="shared" si="23"/>
        <v>1100000000</v>
      </c>
      <c r="D66" s="154">
        <v>1100000000</v>
      </c>
      <c r="E66" s="194"/>
      <c r="F66" s="194">
        <f t="shared" si="24"/>
        <v>1415000000</v>
      </c>
      <c r="G66" s="194">
        <v>1415000000</v>
      </c>
      <c r="H66" s="194"/>
      <c r="I66" s="195">
        <f t="shared" si="7"/>
        <v>1.2863636363636364</v>
      </c>
      <c r="J66" s="195">
        <f t="shared" si="8"/>
        <v>1.2863636363636364</v>
      </c>
      <c r="K66" s="195"/>
    </row>
    <row r="67" spans="1:12">
      <c r="A67" s="156" t="s">
        <v>141</v>
      </c>
      <c r="B67" s="153" t="s">
        <v>519</v>
      </c>
      <c r="C67" s="194">
        <f t="shared" si="23"/>
        <v>1200000000</v>
      </c>
      <c r="D67" s="154">
        <v>1200000000</v>
      </c>
      <c r="E67" s="194"/>
      <c r="F67" s="194">
        <f t="shared" si="24"/>
        <v>988000000</v>
      </c>
      <c r="G67" s="194">
        <v>988000000</v>
      </c>
      <c r="H67" s="194"/>
      <c r="I67" s="195">
        <f t="shared" si="7"/>
        <v>0.82333333333333336</v>
      </c>
      <c r="J67" s="195">
        <f t="shared" si="8"/>
        <v>0.82333333333333336</v>
      </c>
      <c r="K67" s="195"/>
    </row>
    <row r="68" spans="1:12" ht="33">
      <c r="A68" s="156" t="s">
        <v>142</v>
      </c>
      <c r="B68" s="153" t="s">
        <v>517</v>
      </c>
      <c r="C68" s="194">
        <f t="shared" si="23"/>
        <v>224000000</v>
      </c>
      <c r="D68" s="154">
        <v>224000000</v>
      </c>
      <c r="E68" s="194"/>
      <c r="F68" s="194">
        <f t="shared" si="24"/>
        <v>187200000</v>
      </c>
      <c r="G68" s="194">
        <v>187200000</v>
      </c>
      <c r="H68" s="194"/>
      <c r="I68" s="195">
        <f t="shared" si="7"/>
        <v>0.83571428571428574</v>
      </c>
      <c r="J68" s="195">
        <f t="shared" si="8"/>
        <v>0.83571428571428574</v>
      </c>
      <c r="K68" s="195"/>
    </row>
    <row r="69" spans="1:12" ht="66">
      <c r="A69" s="156" t="s">
        <v>143</v>
      </c>
      <c r="B69" s="153" t="s">
        <v>518</v>
      </c>
      <c r="C69" s="194">
        <f t="shared" si="23"/>
        <v>1790000000</v>
      </c>
      <c r="D69" s="154"/>
      <c r="E69" s="194">
        <v>1790000000</v>
      </c>
      <c r="F69" s="194">
        <f t="shared" si="24"/>
        <v>1777071100</v>
      </c>
      <c r="G69" s="194"/>
      <c r="H69" s="194">
        <v>1777071100</v>
      </c>
      <c r="I69" s="195">
        <f t="shared" si="7"/>
        <v>0.99277715083798879</v>
      </c>
      <c r="J69" s="195"/>
      <c r="K69" s="195">
        <f t="shared" si="9"/>
        <v>0.99277715083798879</v>
      </c>
    </row>
    <row r="70" spans="1:12" ht="49.5">
      <c r="A70" s="156" t="s">
        <v>144</v>
      </c>
      <c r="B70" s="153" t="s">
        <v>523</v>
      </c>
      <c r="C70" s="194">
        <f t="shared" si="23"/>
        <v>0</v>
      </c>
      <c r="D70" s="154"/>
      <c r="E70" s="194"/>
      <c r="F70" s="194">
        <f t="shared" si="24"/>
        <v>1670000000</v>
      </c>
      <c r="G70" s="194">
        <v>1670000000</v>
      </c>
      <c r="H70" s="194"/>
      <c r="I70" s="195"/>
      <c r="J70" s="195"/>
      <c r="K70" s="195"/>
    </row>
    <row r="71" spans="1:12" ht="49.5">
      <c r="A71" s="156" t="s">
        <v>145</v>
      </c>
      <c r="B71" s="153" t="s">
        <v>526</v>
      </c>
      <c r="C71" s="194">
        <f t="shared" si="23"/>
        <v>0</v>
      </c>
      <c r="D71" s="154"/>
      <c r="E71" s="194"/>
      <c r="F71" s="194">
        <f t="shared" si="24"/>
        <v>487884000</v>
      </c>
      <c r="G71" s="194">
        <v>487884000</v>
      </c>
      <c r="H71" s="194"/>
      <c r="I71" s="195"/>
      <c r="J71" s="195"/>
      <c r="K71" s="195"/>
    </row>
    <row r="72" spans="1:12" ht="49.5">
      <c r="A72" s="156" t="s">
        <v>146</v>
      </c>
      <c r="B72" s="153" t="s">
        <v>528</v>
      </c>
      <c r="C72" s="194">
        <f t="shared" si="23"/>
        <v>0</v>
      </c>
      <c r="D72" s="154"/>
      <c r="E72" s="194"/>
      <c r="F72" s="194">
        <f t="shared" si="24"/>
        <v>414920000</v>
      </c>
      <c r="G72" s="194">
        <f>414920000-H72</f>
        <v>347617000</v>
      </c>
      <c r="H72" s="194">
        <v>67303000</v>
      </c>
      <c r="I72" s="195"/>
      <c r="J72" s="195"/>
      <c r="K72" s="195"/>
    </row>
    <row r="73" spans="1:12" ht="49.5">
      <c r="A73" s="156" t="s">
        <v>147</v>
      </c>
      <c r="B73" s="153" t="s">
        <v>527</v>
      </c>
      <c r="C73" s="194">
        <f t="shared" si="23"/>
        <v>0</v>
      </c>
      <c r="D73" s="154"/>
      <c r="E73" s="194"/>
      <c r="F73" s="194">
        <f t="shared" si="24"/>
        <v>96428000</v>
      </c>
      <c r="G73" s="194">
        <v>96428000</v>
      </c>
      <c r="H73" s="194"/>
      <c r="I73" s="195"/>
      <c r="J73" s="195"/>
      <c r="K73" s="195"/>
    </row>
    <row r="74" spans="1:12" ht="49.5">
      <c r="A74" s="156" t="s">
        <v>302</v>
      </c>
      <c r="B74" s="153" t="s">
        <v>529</v>
      </c>
      <c r="C74" s="194">
        <f t="shared" si="23"/>
        <v>0</v>
      </c>
      <c r="D74" s="154"/>
      <c r="E74" s="194"/>
      <c r="F74" s="194">
        <f t="shared" si="24"/>
        <v>480800000</v>
      </c>
      <c r="G74" s="194">
        <v>480800000</v>
      </c>
      <c r="H74" s="194"/>
      <c r="I74" s="195"/>
      <c r="J74" s="195"/>
      <c r="K74" s="195"/>
    </row>
    <row r="75" spans="1:12" ht="99">
      <c r="A75" s="156" t="s">
        <v>445</v>
      </c>
      <c r="B75" s="153" t="s">
        <v>530</v>
      </c>
      <c r="C75" s="194">
        <f t="shared" si="23"/>
        <v>0</v>
      </c>
      <c r="D75" s="154"/>
      <c r="E75" s="194"/>
      <c r="F75" s="194">
        <f t="shared" si="24"/>
        <v>600000000</v>
      </c>
      <c r="G75" s="194">
        <v>600000000</v>
      </c>
      <c r="H75" s="194"/>
      <c r="I75" s="195"/>
      <c r="J75" s="195"/>
      <c r="K75" s="195"/>
    </row>
    <row r="76" spans="1:12" ht="49.5">
      <c r="A76" s="156" t="s">
        <v>303</v>
      </c>
      <c r="B76" s="153" t="s">
        <v>531</v>
      </c>
      <c r="C76" s="194">
        <f t="shared" si="23"/>
        <v>0</v>
      </c>
      <c r="D76" s="154"/>
      <c r="E76" s="194"/>
      <c r="F76" s="194">
        <f t="shared" si="24"/>
        <v>24000000</v>
      </c>
      <c r="G76" s="194"/>
      <c r="H76" s="194">
        <v>24000000</v>
      </c>
      <c r="I76" s="195"/>
      <c r="J76" s="195"/>
      <c r="K76" s="195"/>
    </row>
    <row r="77" spans="1:12" ht="66">
      <c r="A77" s="156" t="s">
        <v>304</v>
      </c>
      <c r="B77" s="153" t="s">
        <v>532</v>
      </c>
      <c r="C77" s="194">
        <f t="shared" si="21"/>
        <v>0</v>
      </c>
      <c r="D77" s="154"/>
      <c r="E77" s="194"/>
      <c r="F77" s="194">
        <f t="shared" si="22"/>
        <v>255000000</v>
      </c>
      <c r="G77" s="194"/>
      <c r="H77" s="194">
        <v>255000000</v>
      </c>
      <c r="I77" s="195"/>
      <c r="J77" s="195"/>
      <c r="K77" s="195"/>
    </row>
    <row r="78" spans="1:12" ht="33">
      <c r="A78" s="156" t="s">
        <v>305</v>
      </c>
      <c r="B78" s="153" t="s">
        <v>533</v>
      </c>
      <c r="C78" s="194">
        <f t="shared" si="21"/>
        <v>0</v>
      </c>
      <c r="D78" s="154"/>
      <c r="E78" s="194"/>
      <c r="F78" s="194">
        <f t="shared" si="22"/>
        <v>3359340000</v>
      </c>
      <c r="G78" s="194">
        <v>1768340000</v>
      </c>
      <c r="H78" s="194">
        <v>1591000000</v>
      </c>
      <c r="I78" s="195"/>
      <c r="J78" s="195"/>
      <c r="K78" s="195"/>
      <c r="L78" s="287"/>
    </row>
    <row r="79" spans="1:12" ht="33">
      <c r="A79" s="250" t="s">
        <v>42</v>
      </c>
      <c r="B79" s="251" t="s">
        <v>43</v>
      </c>
      <c r="C79" s="279">
        <v>0</v>
      </c>
      <c r="D79" s="279">
        <v>0</v>
      </c>
      <c r="E79" s="279">
        <v>0</v>
      </c>
      <c r="F79" s="279">
        <f>SUM(G79:H79)</f>
        <v>89824758156</v>
      </c>
      <c r="G79" s="279">
        <v>80289312185</v>
      </c>
      <c r="H79" s="279">
        <v>9535445971</v>
      </c>
      <c r="I79" s="195"/>
      <c r="J79" s="195"/>
      <c r="K79" s="195"/>
    </row>
    <row r="80" spans="1:12" ht="33">
      <c r="A80" s="267" t="s">
        <v>190</v>
      </c>
      <c r="B80" s="268" t="s">
        <v>284</v>
      </c>
      <c r="C80" s="288">
        <v>0</v>
      </c>
      <c r="D80" s="288">
        <v>0</v>
      </c>
      <c r="E80" s="288">
        <v>0</v>
      </c>
      <c r="F80" s="288">
        <f>SUM(G80:H80)</f>
        <v>12296108112</v>
      </c>
      <c r="G80" s="288">
        <v>12296108112</v>
      </c>
      <c r="H80" s="288"/>
      <c r="I80" s="289"/>
      <c r="J80" s="289"/>
      <c r="K80" s="289"/>
    </row>
    <row r="81" spans="1:11" ht="9.75" customHeight="1">
      <c r="A81" s="242" t="s">
        <v>0</v>
      </c>
    </row>
    <row r="82" spans="1:11" ht="36" customHeight="1">
      <c r="A82" s="379" t="s">
        <v>449</v>
      </c>
      <c r="B82" s="379"/>
      <c r="C82" s="379"/>
      <c r="D82" s="379"/>
      <c r="E82" s="379"/>
      <c r="F82" s="379"/>
      <c r="G82" s="379"/>
      <c r="H82" s="379"/>
      <c r="I82" s="379"/>
      <c r="J82" s="379"/>
      <c r="K82" s="379"/>
    </row>
  </sheetData>
  <mergeCells count="11">
    <mergeCell ref="A82:K82"/>
    <mergeCell ref="A3:K3"/>
    <mergeCell ref="A4:K4"/>
    <mergeCell ref="A8:A9"/>
    <mergeCell ref="D8:E8"/>
    <mergeCell ref="G8:H8"/>
    <mergeCell ref="I8:K8"/>
    <mergeCell ref="B8:B9"/>
    <mergeCell ref="C8:C9"/>
    <mergeCell ref="F8:F9"/>
    <mergeCell ref="J6:K6"/>
  </mergeCells>
  <phoneticPr fontId="38" type="noConversion"/>
  <pageMargins left="0.68" right="0.28000000000000003" top="0.63" bottom="0.47" header="0.3" footer="0.2"/>
  <pageSetup paperSize="9" scale="72" fitToHeight="0" orientation="landscape" verticalDpi="0" r:id="rId1"/>
  <headerFooter>
    <oddFooter>&amp;C&amp;12&amp;P/&amp;N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4"/>
  <sheetViews>
    <sheetView showGridLines="0" showZeros="0" view="pageBreakPreview" topLeftCell="L103" zoomScale="118" zoomScaleNormal="110" zoomScaleSheetLayoutView="118" workbookViewId="0">
      <selection activeCell="N10" sqref="N10"/>
    </sheetView>
  </sheetViews>
  <sheetFormatPr defaultRowHeight="15"/>
  <cols>
    <col min="1" max="1" width="5.140625" style="298" customWidth="1"/>
    <col min="2" max="2" width="37.5703125" style="298" customWidth="1"/>
    <col min="3" max="3" width="16.140625" style="298" customWidth="1"/>
    <col min="4" max="4" width="15.42578125" style="298" customWidth="1"/>
    <col min="5" max="6" width="15.85546875" style="298" customWidth="1"/>
    <col min="7" max="9" width="8.85546875" style="298" customWidth="1"/>
    <col min="10" max="10" width="15.42578125" style="298" customWidth="1"/>
    <col min="11" max="11" width="16.140625" style="298" customWidth="1"/>
    <col min="12" max="12" width="15.140625" style="298" customWidth="1"/>
    <col min="13" max="13" width="15.42578125" style="298" customWidth="1"/>
    <col min="14" max="14" width="15" style="298" customWidth="1"/>
    <col min="15" max="15" width="14.85546875" style="298" customWidth="1"/>
    <col min="16" max="16" width="14.28515625" style="298" customWidth="1"/>
    <col min="17" max="17" width="10.28515625" style="298" customWidth="1"/>
    <col min="18" max="18" width="15.85546875" style="298" customWidth="1"/>
    <col min="19" max="19" width="9.7109375" style="298" customWidth="1"/>
    <col min="20" max="20" width="11" style="298" customWidth="1"/>
    <col min="21" max="21" width="12.28515625" style="298" customWidth="1"/>
    <col min="22" max="22" width="9.42578125" style="298" customWidth="1"/>
    <col min="23" max="24" width="9" style="298" customWidth="1"/>
    <col min="25" max="25" width="12" style="298" customWidth="1"/>
    <col min="26" max="16384" width="9.140625" style="298"/>
  </cols>
  <sheetData>
    <row r="1" spans="1:25" s="291" customFormat="1">
      <c r="A1" s="314" t="s">
        <v>66</v>
      </c>
      <c r="B1" s="315"/>
      <c r="C1" s="315"/>
      <c r="D1" s="315"/>
      <c r="E1" s="315"/>
      <c r="F1" s="315"/>
      <c r="G1" s="315"/>
      <c r="H1" s="315"/>
      <c r="I1" s="315"/>
      <c r="J1" s="315"/>
      <c r="K1" s="315"/>
      <c r="L1" s="315"/>
      <c r="M1" s="315"/>
      <c r="N1" s="315"/>
      <c r="O1" s="315"/>
      <c r="P1" s="315"/>
      <c r="Q1" s="315"/>
      <c r="R1" s="315"/>
      <c r="S1" s="315"/>
      <c r="T1" s="315"/>
      <c r="U1" s="315"/>
      <c r="V1" s="315"/>
      <c r="W1" s="315"/>
      <c r="X1" s="315"/>
      <c r="Y1" s="315"/>
    </row>
    <row r="2" spans="1:25" s="291" customFormat="1" ht="18.75">
      <c r="B2" s="293"/>
      <c r="C2" s="385" t="s">
        <v>458</v>
      </c>
      <c r="D2" s="385"/>
      <c r="E2" s="385"/>
      <c r="F2" s="385"/>
      <c r="G2" s="385"/>
      <c r="H2" s="385"/>
      <c r="I2" s="385"/>
      <c r="J2" s="385"/>
      <c r="K2" s="385"/>
      <c r="L2" s="385"/>
      <c r="M2" s="385"/>
      <c r="N2" s="316"/>
      <c r="O2" s="293"/>
      <c r="P2" s="293"/>
      <c r="Q2" s="293"/>
      <c r="R2" s="293"/>
      <c r="S2" s="293"/>
      <c r="T2" s="293"/>
      <c r="U2" s="293"/>
      <c r="V2" s="293"/>
      <c r="W2" s="293"/>
      <c r="X2" s="293"/>
      <c r="Y2" s="293"/>
    </row>
    <row r="3" spans="1:25" s="291" customFormat="1" ht="18.75">
      <c r="B3" s="317"/>
      <c r="C3" s="377" t="s">
        <v>548</v>
      </c>
      <c r="D3" s="377"/>
      <c r="E3" s="377"/>
      <c r="F3" s="377"/>
      <c r="G3" s="377"/>
      <c r="H3" s="377"/>
      <c r="I3" s="377"/>
      <c r="J3" s="377"/>
      <c r="K3" s="377"/>
      <c r="L3" s="377"/>
      <c r="M3" s="377"/>
      <c r="N3" s="318"/>
      <c r="O3" s="317"/>
      <c r="P3" s="317"/>
      <c r="Q3" s="317"/>
      <c r="R3" s="317"/>
      <c r="S3" s="317"/>
      <c r="T3" s="317"/>
      <c r="U3" s="317"/>
      <c r="V3" s="317"/>
      <c r="W3" s="317"/>
      <c r="X3" s="317"/>
      <c r="Y3" s="317"/>
    </row>
    <row r="4" spans="1:25" s="291" customFormat="1">
      <c r="B4" s="319"/>
      <c r="C4" s="319"/>
      <c r="D4" s="319"/>
      <c r="E4" s="319"/>
      <c r="F4" s="319"/>
      <c r="G4" s="319"/>
      <c r="H4" s="319"/>
      <c r="I4" s="319"/>
      <c r="J4" s="319"/>
      <c r="K4" s="319"/>
      <c r="L4" s="319"/>
      <c r="M4" s="319"/>
      <c r="N4" s="319"/>
      <c r="O4" s="319"/>
      <c r="P4" s="319"/>
      <c r="Q4" s="319"/>
      <c r="R4" s="319"/>
      <c r="S4" s="319"/>
      <c r="T4" s="319"/>
      <c r="U4" s="319"/>
      <c r="V4" s="319"/>
      <c r="W4" s="319"/>
      <c r="X4" s="383" t="s">
        <v>1</v>
      </c>
      <c r="Y4" s="383"/>
    </row>
    <row r="5" spans="1:25" ht="22.5" customHeight="1">
      <c r="A5" s="384" t="s">
        <v>2</v>
      </c>
      <c r="B5" s="384" t="s">
        <v>67</v>
      </c>
      <c r="C5" s="384" t="s">
        <v>554</v>
      </c>
      <c r="D5" s="384"/>
      <c r="E5" s="384"/>
      <c r="F5" s="384"/>
      <c r="G5" s="384"/>
      <c r="H5" s="384"/>
      <c r="I5" s="384"/>
      <c r="J5" s="384"/>
      <c r="K5" s="386" t="s">
        <v>457</v>
      </c>
      <c r="L5" s="387"/>
      <c r="M5" s="388"/>
      <c r="N5" s="386" t="s">
        <v>457</v>
      </c>
      <c r="O5" s="387"/>
      <c r="P5" s="387"/>
      <c r="Q5" s="387"/>
      <c r="R5" s="388"/>
      <c r="S5" s="384" t="s">
        <v>6</v>
      </c>
      <c r="T5" s="384"/>
      <c r="U5" s="384"/>
      <c r="V5" s="384"/>
      <c r="W5" s="384"/>
      <c r="X5" s="384"/>
      <c r="Y5" s="384"/>
    </row>
    <row r="6" spans="1:25" ht="21.75" customHeight="1">
      <c r="A6" s="384"/>
      <c r="B6" s="384"/>
      <c r="C6" s="384" t="s">
        <v>68</v>
      </c>
      <c r="D6" s="384" t="s">
        <v>555</v>
      </c>
      <c r="E6" s="384" t="s">
        <v>556</v>
      </c>
      <c r="F6" s="390" t="s">
        <v>463</v>
      </c>
      <c r="G6" s="384" t="s">
        <v>69</v>
      </c>
      <c r="H6" s="384"/>
      <c r="I6" s="384"/>
      <c r="J6" s="384" t="s">
        <v>435</v>
      </c>
      <c r="K6" s="384" t="s">
        <v>68</v>
      </c>
      <c r="L6" s="384" t="s">
        <v>557</v>
      </c>
      <c r="M6" s="384" t="s">
        <v>558</v>
      </c>
      <c r="N6" s="390" t="s">
        <v>543</v>
      </c>
      <c r="O6" s="384" t="s">
        <v>69</v>
      </c>
      <c r="P6" s="384"/>
      <c r="Q6" s="384"/>
      <c r="R6" s="384" t="s">
        <v>70</v>
      </c>
      <c r="S6" s="384" t="s">
        <v>68</v>
      </c>
      <c r="T6" s="384" t="s">
        <v>557</v>
      </c>
      <c r="U6" s="384" t="s">
        <v>558</v>
      </c>
      <c r="V6" s="384" t="s">
        <v>69</v>
      </c>
      <c r="W6" s="384"/>
      <c r="X6" s="384"/>
      <c r="Y6" s="384" t="s">
        <v>417</v>
      </c>
    </row>
    <row r="7" spans="1:25">
      <c r="A7" s="384"/>
      <c r="B7" s="384"/>
      <c r="C7" s="384"/>
      <c r="D7" s="384"/>
      <c r="E7" s="384"/>
      <c r="F7" s="391"/>
      <c r="G7" s="384" t="s">
        <v>68</v>
      </c>
      <c r="H7" s="384" t="s">
        <v>10</v>
      </c>
      <c r="I7" s="384" t="s">
        <v>18</v>
      </c>
      <c r="J7" s="384"/>
      <c r="K7" s="384"/>
      <c r="L7" s="384"/>
      <c r="M7" s="384"/>
      <c r="N7" s="391"/>
      <c r="O7" s="384" t="s">
        <v>68</v>
      </c>
      <c r="P7" s="384" t="s">
        <v>10</v>
      </c>
      <c r="Q7" s="384" t="s">
        <v>18</v>
      </c>
      <c r="R7" s="384"/>
      <c r="S7" s="384"/>
      <c r="T7" s="384"/>
      <c r="U7" s="384"/>
      <c r="V7" s="384" t="s">
        <v>68</v>
      </c>
      <c r="W7" s="384" t="s">
        <v>10</v>
      </c>
      <c r="X7" s="384" t="s">
        <v>18</v>
      </c>
      <c r="Y7" s="384"/>
    </row>
    <row r="8" spans="1:25" ht="51.75" customHeight="1">
      <c r="A8" s="384"/>
      <c r="B8" s="384"/>
      <c r="C8" s="384"/>
      <c r="D8" s="384"/>
      <c r="E8" s="384"/>
      <c r="F8" s="392"/>
      <c r="G8" s="384"/>
      <c r="H8" s="384"/>
      <c r="I8" s="384"/>
      <c r="J8" s="384"/>
      <c r="K8" s="384"/>
      <c r="L8" s="384"/>
      <c r="M8" s="384"/>
      <c r="N8" s="392"/>
      <c r="O8" s="384"/>
      <c r="P8" s="384"/>
      <c r="Q8" s="384"/>
      <c r="R8" s="384"/>
      <c r="S8" s="384"/>
      <c r="T8" s="384"/>
      <c r="U8" s="384"/>
      <c r="V8" s="384"/>
      <c r="W8" s="384"/>
      <c r="X8" s="384"/>
      <c r="Y8" s="384"/>
    </row>
    <row r="9" spans="1:25">
      <c r="A9" s="320" t="s">
        <v>7</v>
      </c>
      <c r="B9" s="320" t="s">
        <v>24</v>
      </c>
      <c r="C9" s="320" t="s">
        <v>11</v>
      </c>
      <c r="D9" s="320" t="s">
        <v>19</v>
      </c>
      <c r="E9" s="320" t="s">
        <v>28</v>
      </c>
      <c r="F9" s="320" t="s">
        <v>29</v>
      </c>
      <c r="G9" s="320" t="s">
        <v>30</v>
      </c>
      <c r="H9" s="320" t="s">
        <v>31</v>
      </c>
      <c r="I9" s="320" t="s">
        <v>32</v>
      </c>
      <c r="J9" s="320" t="s">
        <v>33</v>
      </c>
      <c r="K9" s="320" t="s">
        <v>34</v>
      </c>
      <c r="L9" s="320" t="s">
        <v>35</v>
      </c>
      <c r="M9" s="320" t="s">
        <v>36</v>
      </c>
      <c r="N9" s="320" t="s">
        <v>37</v>
      </c>
      <c r="O9" s="320" t="s">
        <v>38</v>
      </c>
      <c r="P9" s="320" t="s">
        <v>39</v>
      </c>
      <c r="Q9" s="320" t="s">
        <v>40</v>
      </c>
      <c r="R9" s="320" t="s">
        <v>41</v>
      </c>
      <c r="S9" s="320" t="s">
        <v>71</v>
      </c>
      <c r="T9" s="320" t="s">
        <v>72</v>
      </c>
      <c r="U9" s="320" t="s">
        <v>73</v>
      </c>
      <c r="V9" s="320" t="s">
        <v>74</v>
      </c>
      <c r="W9" s="320" t="s">
        <v>75</v>
      </c>
      <c r="X9" s="320" t="s">
        <v>76</v>
      </c>
      <c r="Y9" s="320" t="s">
        <v>77</v>
      </c>
    </row>
    <row r="10" spans="1:25" s="303" customFormat="1" ht="25.5" customHeight="1">
      <c r="A10" s="321"/>
      <c r="B10" s="322" t="s">
        <v>112</v>
      </c>
      <c r="C10" s="323">
        <f t="shared" ref="C10:J10" si="0">C11+C110+C111+C112+C113</f>
        <v>435676228134</v>
      </c>
      <c r="D10" s="323">
        <f t="shared" si="0"/>
        <v>29574057676</v>
      </c>
      <c r="E10" s="323">
        <f t="shared" si="0"/>
        <v>267167487453</v>
      </c>
      <c r="F10" s="323">
        <f t="shared" si="0"/>
        <v>68678000000</v>
      </c>
      <c r="G10" s="323">
        <f t="shared" si="0"/>
        <v>0</v>
      </c>
      <c r="H10" s="323">
        <f t="shared" si="0"/>
        <v>0</v>
      </c>
      <c r="I10" s="323">
        <f t="shared" si="0"/>
        <v>0</v>
      </c>
      <c r="J10" s="323">
        <f t="shared" si="0"/>
        <v>70256683005</v>
      </c>
      <c r="K10" s="323">
        <f>K11+K110+K111+K112+K113+K114</f>
        <v>455937195771</v>
      </c>
      <c r="L10" s="323">
        <f t="shared" ref="L10:R10" si="1">L11+L110+L111+L112+L113+L114</f>
        <v>28698409680</v>
      </c>
      <c r="M10" s="323">
        <f t="shared" si="1"/>
        <v>265618358565</v>
      </c>
      <c r="N10" s="323">
        <f t="shared" si="1"/>
        <v>81302471269</v>
      </c>
      <c r="O10" s="323">
        <f t="shared" si="1"/>
        <v>28644072</v>
      </c>
      <c r="P10" s="323">
        <f t="shared" si="1"/>
        <v>28644072</v>
      </c>
      <c r="Q10" s="323">
        <f t="shared" si="1"/>
        <v>0</v>
      </c>
      <c r="R10" s="323">
        <f t="shared" si="1"/>
        <v>80289312185</v>
      </c>
      <c r="S10" s="324">
        <f t="shared" ref="S10:S11" si="2">K10/C10</f>
        <v>1.0465046434224279</v>
      </c>
      <c r="T10" s="324">
        <f t="shared" ref="T10:T11" si="3">L10/D10</f>
        <v>0.97039134752514511</v>
      </c>
      <c r="U10" s="324">
        <f t="shared" ref="U10:U11" si="4">M10/E10</f>
        <v>0.99420165641123337</v>
      </c>
      <c r="V10" s="324"/>
      <c r="W10" s="324"/>
      <c r="X10" s="324"/>
      <c r="Y10" s="324">
        <f t="shared" ref="Y10:Y11" si="5">R10/J10</f>
        <v>1.1427996419826141</v>
      </c>
    </row>
    <row r="11" spans="1:25" s="303" customFormat="1">
      <c r="A11" s="325" t="s">
        <v>9</v>
      </c>
      <c r="B11" s="326" t="s">
        <v>82</v>
      </c>
      <c r="C11" s="327">
        <f>SUM(C12:C109)</f>
        <v>326041443800</v>
      </c>
      <c r="D11" s="327">
        <f t="shared" ref="D11:R11" si="6">SUM(D12:D109)</f>
        <v>29574057676</v>
      </c>
      <c r="E11" s="327">
        <f t="shared" si="6"/>
        <v>267167487453</v>
      </c>
      <c r="F11" s="327">
        <f t="shared" si="6"/>
        <v>0</v>
      </c>
      <c r="G11" s="327">
        <f t="shared" si="6"/>
        <v>0</v>
      </c>
      <c r="H11" s="327">
        <f t="shared" si="6"/>
        <v>0</v>
      </c>
      <c r="I11" s="327">
        <f t="shared" si="6"/>
        <v>0</v>
      </c>
      <c r="J11" s="327">
        <f t="shared" si="6"/>
        <v>29299898671</v>
      </c>
      <c r="K11" s="327">
        <f t="shared" si="6"/>
        <v>315799167673</v>
      </c>
      <c r="L11" s="327">
        <f t="shared" si="6"/>
        <v>28698409680</v>
      </c>
      <c r="M11" s="327">
        <f t="shared" si="6"/>
        <v>265618358565</v>
      </c>
      <c r="N11" s="327">
        <f t="shared" si="6"/>
        <v>0</v>
      </c>
      <c r="O11" s="327">
        <f t="shared" si="6"/>
        <v>28644072</v>
      </c>
      <c r="P11" s="327">
        <f t="shared" si="6"/>
        <v>28644072</v>
      </c>
      <c r="Q11" s="327">
        <f t="shared" si="6"/>
        <v>0</v>
      </c>
      <c r="R11" s="327">
        <f t="shared" si="6"/>
        <v>21453755356</v>
      </c>
      <c r="S11" s="328">
        <f t="shared" si="2"/>
        <v>0.96858596868046376</v>
      </c>
      <c r="T11" s="328">
        <f t="shared" si="3"/>
        <v>0.97039134752514511</v>
      </c>
      <c r="U11" s="328">
        <f t="shared" si="4"/>
        <v>0.99420165641123337</v>
      </c>
      <c r="V11" s="328"/>
      <c r="W11" s="328"/>
      <c r="X11" s="328"/>
      <c r="Y11" s="328">
        <f t="shared" si="5"/>
        <v>0.73221261264067672</v>
      </c>
    </row>
    <row r="12" spans="1:25">
      <c r="A12" s="329" t="s">
        <v>11</v>
      </c>
      <c r="B12" s="330" t="s">
        <v>434</v>
      </c>
      <c r="C12" s="331">
        <f>D12+E12+F12+G12+J12</f>
        <v>6685917367</v>
      </c>
      <c r="D12" s="331"/>
      <c r="E12" s="331">
        <v>6338829450</v>
      </c>
      <c r="F12" s="331"/>
      <c r="G12" s="331"/>
      <c r="H12" s="331"/>
      <c r="I12" s="331"/>
      <c r="J12" s="331">
        <v>347087917</v>
      </c>
      <c r="K12" s="331">
        <f>L12+M12+O12+R12</f>
        <v>6426519647</v>
      </c>
      <c r="L12" s="331"/>
      <c r="M12" s="331">
        <v>6128405884</v>
      </c>
      <c r="N12" s="331"/>
      <c r="O12" s="331">
        <f>P12+Q12</f>
        <v>0</v>
      </c>
      <c r="P12" s="331"/>
      <c r="Q12" s="331"/>
      <c r="R12" s="331">
        <v>298113763</v>
      </c>
      <c r="S12" s="332">
        <f t="shared" ref="S12:S43" si="7">K12/C12</f>
        <v>0.96120237422013</v>
      </c>
      <c r="T12" s="332"/>
      <c r="U12" s="332">
        <f t="shared" ref="U12:U43" si="8">M12/E12</f>
        <v>0.96680403414229732</v>
      </c>
      <c r="V12" s="332"/>
      <c r="W12" s="332"/>
      <c r="X12" s="332"/>
      <c r="Y12" s="332">
        <f t="shared" ref="Y12" si="9">R12/J12</f>
        <v>0.85889985908094868</v>
      </c>
    </row>
    <row r="13" spans="1:25">
      <c r="A13" s="329" t="s">
        <v>19</v>
      </c>
      <c r="B13" s="330" t="s">
        <v>83</v>
      </c>
      <c r="C13" s="331">
        <f t="shared" ref="C13:C76" si="10">D13+E13+F13+G13+J13</f>
        <v>7398069574</v>
      </c>
      <c r="D13" s="331">
        <v>3834700000</v>
      </c>
      <c r="E13" s="331">
        <v>3560037670</v>
      </c>
      <c r="F13" s="331"/>
      <c r="G13" s="331"/>
      <c r="H13" s="331"/>
      <c r="I13" s="331"/>
      <c r="J13" s="331">
        <v>3331904</v>
      </c>
      <c r="K13" s="331">
        <f>L13+M13+O13+R13</f>
        <v>7338452026</v>
      </c>
      <c r="L13" s="331">
        <v>2974631452</v>
      </c>
      <c r="M13" s="331">
        <v>3489620288</v>
      </c>
      <c r="N13" s="331"/>
      <c r="O13" s="331">
        <f t="shared" ref="O13:O71" si="11">P13+Q13</f>
        <v>0</v>
      </c>
      <c r="P13" s="331"/>
      <c r="Q13" s="331"/>
      <c r="R13" s="331">
        <f>39500286+834700000</f>
        <v>874200286</v>
      </c>
      <c r="S13" s="332">
        <f t="shared" si="7"/>
        <v>0.99194147237956209</v>
      </c>
      <c r="T13" s="332">
        <f t="shared" ref="T13:T20" si="12">L13/D13</f>
        <v>0.77571425457010978</v>
      </c>
      <c r="U13" s="332">
        <f t="shared" si="8"/>
        <v>0.9802200458176612</v>
      </c>
      <c r="V13" s="332"/>
      <c r="W13" s="332"/>
      <c r="X13" s="332"/>
      <c r="Y13" s="332">
        <f t="shared" ref="Y13:Y16" si="13">R13/J13</f>
        <v>262.37259116709242</v>
      </c>
    </row>
    <row r="14" spans="1:25">
      <c r="A14" s="329" t="s">
        <v>28</v>
      </c>
      <c r="B14" s="330" t="s">
        <v>289</v>
      </c>
      <c r="C14" s="331">
        <f t="shared" si="10"/>
        <v>44045558522</v>
      </c>
      <c r="D14" s="331">
        <v>25613927714</v>
      </c>
      <c r="E14" s="331">
        <v>3661270487</v>
      </c>
      <c r="F14" s="331"/>
      <c r="G14" s="331"/>
      <c r="H14" s="331"/>
      <c r="I14" s="331"/>
      <c r="J14" s="331">
        <f>9225860321+5544500000</f>
        <v>14770360321</v>
      </c>
      <c r="K14" s="331">
        <f t="shared" ref="K14:K55" si="14">L14+M14+O14+R14</f>
        <v>43581022853</v>
      </c>
      <c r="L14" s="331">
        <v>24575680100</v>
      </c>
      <c r="M14" s="331">
        <v>8998491565</v>
      </c>
      <c r="N14" s="331"/>
      <c r="O14" s="331">
        <f t="shared" si="11"/>
        <v>0</v>
      </c>
      <c r="P14" s="331"/>
      <c r="Q14" s="331"/>
      <c r="R14" s="331">
        <v>10006851188</v>
      </c>
      <c r="S14" s="332">
        <f t="shared" si="7"/>
        <v>0.98945329144213323</v>
      </c>
      <c r="T14" s="332">
        <f t="shared" si="12"/>
        <v>0.9594655054237341</v>
      </c>
      <c r="U14" s="332">
        <f t="shared" si="8"/>
        <v>2.457751099502417</v>
      </c>
      <c r="V14" s="332"/>
      <c r="W14" s="332"/>
      <c r="X14" s="332"/>
      <c r="Y14" s="332">
        <f t="shared" si="13"/>
        <v>0.67749540096002914</v>
      </c>
    </row>
    <row r="15" spans="1:25">
      <c r="A15" s="329" t="s">
        <v>29</v>
      </c>
      <c r="B15" s="330" t="s">
        <v>87</v>
      </c>
      <c r="C15" s="331">
        <f t="shared" si="10"/>
        <v>12767266733</v>
      </c>
      <c r="D15" s="331"/>
      <c r="E15" s="331">
        <v>11244200000</v>
      </c>
      <c r="F15" s="331"/>
      <c r="G15" s="331"/>
      <c r="H15" s="331"/>
      <c r="I15" s="331"/>
      <c r="J15" s="331">
        <f>1459925293+63141440</f>
        <v>1523066733</v>
      </c>
      <c r="K15" s="331">
        <f t="shared" si="14"/>
        <v>12186218579</v>
      </c>
      <c r="L15" s="331">
        <v>11319066</v>
      </c>
      <c r="M15" s="331">
        <v>12108141799</v>
      </c>
      <c r="N15" s="331"/>
      <c r="O15" s="331">
        <f t="shared" si="11"/>
        <v>0</v>
      </c>
      <c r="P15" s="331"/>
      <c r="Q15" s="331"/>
      <c r="R15" s="331">
        <f>66757714</f>
        <v>66757714</v>
      </c>
      <c r="S15" s="332">
        <f t="shared" si="7"/>
        <v>0.95448922888889409</v>
      </c>
      <c r="T15" s="332"/>
      <c r="U15" s="332">
        <f t="shared" si="8"/>
        <v>1.076834438999662</v>
      </c>
      <c r="V15" s="332"/>
      <c r="W15" s="332"/>
      <c r="X15" s="332"/>
      <c r="Y15" s="332">
        <f t="shared" si="13"/>
        <v>4.3831115573318744E-2</v>
      </c>
    </row>
    <row r="16" spans="1:25">
      <c r="A16" s="329" t="s">
        <v>30</v>
      </c>
      <c r="B16" s="330" t="s">
        <v>84</v>
      </c>
      <c r="C16" s="331">
        <f t="shared" si="10"/>
        <v>611799312</v>
      </c>
      <c r="D16" s="331"/>
      <c r="E16" s="331">
        <v>600290000</v>
      </c>
      <c r="F16" s="331"/>
      <c r="G16" s="331"/>
      <c r="H16" s="331"/>
      <c r="I16" s="331"/>
      <c r="J16" s="331">
        <v>11509312</v>
      </c>
      <c r="K16" s="331">
        <f t="shared" si="14"/>
        <v>611799312</v>
      </c>
      <c r="L16" s="331"/>
      <c r="M16" s="331">
        <v>606567807</v>
      </c>
      <c r="N16" s="331"/>
      <c r="O16" s="331">
        <f t="shared" si="11"/>
        <v>0</v>
      </c>
      <c r="P16" s="331"/>
      <c r="Q16" s="331"/>
      <c r="R16" s="331">
        <v>5231505</v>
      </c>
      <c r="S16" s="332">
        <f t="shared" si="7"/>
        <v>1</v>
      </c>
      <c r="T16" s="332"/>
      <c r="U16" s="332">
        <f t="shared" si="8"/>
        <v>1.0104579569874561</v>
      </c>
      <c r="V16" s="332"/>
      <c r="W16" s="332"/>
      <c r="X16" s="332"/>
      <c r="Y16" s="332">
        <f t="shared" si="13"/>
        <v>0.45454541505174245</v>
      </c>
    </row>
    <row r="17" spans="1:25">
      <c r="A17" s="329" t="s">
        <v>31</v>
      </c>
      <c r="B17" s="330" t="s">
        <v>85</v>
      </c>
      <c r="C17" s="331">
        <f t="shared" si="10"/>
        <v>2055146595</v>
      </c>
      <c r="D17" s="331"/>
      <c r="E17" s="331">
        <v>2055146595</v>
      </c>
      <c r="F17" s="331"/>
      <c r="G17" s="331"/>
      <c r="H17" s="331"/>
      <c r="I17" s="331"/>
      <c r="J17" s="331"/>
      <c r="K17" s="331">
        <f t="shared" si="14"/>
        <v>1788930359</v>
      </c>
      <c r="L17" s="331"/>
      <c r="M17" s="331">
        <v>1788930359</v>
      </c>
      <c r="N17" s="331"/>
      <c r="O17" s="331">
        <f t="shared" si="11"/>
        <v>0</v>
      </c>
      <c r="P17" s="331"/>
      <c r="Q17" s="331"/>
      <c r="R17" s="331"/>
      <c r="S17" s="332">
        <f t="shared" si="7"/>
        <v>0.87046362695114698</v>
      </c>
      <c r="T17" s="332"/>
      <c r="U17" s="332">
        <f t="shared" si="8"/>
        <v>0.87046362695114698</v>
      </c>
      <c r="V17" s="332"/>
      <c r="W17" s="332"/>
      <c r="X17" s="332"/>
      <c r="Y17" s="332"/>
    </row>
    <row r="18" spans="1:25">
      <c r="A18" s="329" t="s">
        <v>32</v>
      </c>
      <c r="B18" s="330" t="s">
        <v>86</v>
      </c>
      <c r="C18" s="331">
        <f t="shared" si="10"/>
        <v>7106217830</v>
      </c>
      <c r="D18" s="331"/>
      <c r="E18" s="331">
        <v>7077563020</v>
      </c>
      <c r="F18" s="331"/>
      <c r="G18" s="331"/>
      <c r="H18" s="331"/>
      <c r="I18" s="331"/>
      <c r="J18" s="331">
        <v>28654810</v>
      </c>
      <c r="K18" s="331">
        <f t="shared" si="14"/>
        <v>6870234503</v>
      </c>
      <c r="L18" s="331"/>
      <c r="M18" s="331">
        <v>6837994033</v>
      </c>
      <c r="N18" s="331"/>
      <c r="O18" s="331">
        <f t="shared" si="11"/>
        <v>0</v>
      </c>
      <c r="P18" s="331"/>
      <c r="Q18" s="331"/>
      <c r="R18" s="331">
        <v>32240470</v>
      </c>
      <c r="S18" s="332">
        <f t="shared" si="7"/>
        <v>0.96679199362510959</v>
      </c>
      <c r="T18" s="332"/>
      <c r="U18" s="332">
        <f t="shared" si="8"/>
        <v>0.96615092139440961</v>
      </c>
      <c r="V18" s="332"/>
      <c r="W18" s="332"/>
      <c r="X18" s="332"/>
      <c r="Y18" s="332">
        <f>R18/J18</f>
        <v>1.1251329183477399</v>
      </c>
    </row>
    <row r="19" spans="1:25">
      <c r="A19" s="329" t="s">
        <v>33</v>
      </c>
      <c r="B19" s="330" t="s">
        <v>88</v>
      </c>
      <c r="C19" s="331">
        <f t="shared" si="10"/>
        <v>491281476</v>
      </c>
      <c r="D19" s="331"/>
      <c r="E19" s="331">
        <v>487795696</v>
      </c>
      <c r="F19" s="331"/>
      <c r="G19" s="331"/>
      <c r="H19" s="331"/>
      <c r="I19" s="331"/>
      <c r="J19" s="331">
        <v>3485780</v>
      </c>
      <c r="K19" s="331">
        <f t="shared" si="14"/>
        <v>491281476</v>
      </c>
      <c r="L19" s="331"/>
      <c r="M19" s="331">
        <v>489270555</v>
      </c>
      <c r="N19" s="331"/>
      <c r="O19" s="331">
        <f t="shared" si="11"/>
        <v>0</v>
      </c>
      <c r="P19" s="331"/>
      <c r="Q19" s="331"/>
      <c r="R19" s="331">
        <v>2010921</v>
      </c>
      <c r="S19" s="332">
        <f t="shared" si="7"/>
        <v>1</v>
      </c>
      <c r="T19" s="332"/>
      <c r="U19" s="332">
        <f t="shared" si="8"/>
        <v>1.0030235178622815</v>
      </c>
      <c r="V19" s="332"/>
      <c r="W19" s="332"/>
      <c r="X19" s="332"/>
      <c r="Y19" s="332">
        <f>R19/J19</f>
        <v>0.57689268972798058</v>
      </c>
    </row>
    <row r="20" spans="1:25">
      <c r="A20" s="329" t="s">
        <v>34</v>
      </c>
      <c r="B20" s="330" t="s">
        <v>89</v>
      </c>
      <c r="C20" s="331">
        <f t="shared" si="10"/>
        <v>10510696695</v>
      </c>
      <c r="D20" s="331">
        <v>2712000</v>
      </c>
      <c r="E20" s="331">
        <v>10507647000</v>
      </c>
      <c r="F20" s="331"/>
      <c r="G20" s="331"/>
      <c r="H20" s="331"/>
      <c r="I20" s="331"/>
      <c r="J20" s="331">
        <v>337695</v>
      </c>
      <c r="K20" s="331">
        <f t="shared" si="14"/>
        <v>10189279445</v>
      </c>
      <c r="L20" s="331">
        <v>2712000</v>
      </c>
      <c r="M20" s="331">
        <v>10164409474</v>
      </c>
      <c r="N20" s="331"/>
      <c r="O20" s="331">
        <f t="shared" si="11"/>
        <v>0</v>
      </c>
      <c r="P20" s="331"/>
      <c r="Q20" s="331"/>
      <c r="R20" s="331">
        <v>22157971</v>
      </c>
      <c r="S20" s="332">
        <f t="shared" si="7"/>
        <v>0.96941998619816516</v>
      </c>
      <c r="T20" s="332">
        <f t="shared" si="12"/>
        <v>1</v>
      </c>
      <c r="U20" s="332">
        <f t="shared" si="8"/>
        <v>0.96733450162534007</v>
      </c>
      <c r="V20" s="332"/>
      <c r="W20" s="332"/>
      <c r="X20" s="332"/>
      <c r="Y20" s="332">
        <f t="shared" ref="Y20:Y83" si="15">R20/J20</f>
        <v>65.61533632419787</v>
      </c>
    </row>
    <row r="21" spans="1:25">
      <c r="A21" s="329" t="s">
        <v>35</v>
      </c>
      <c r="B21" s="330" t="s">
        <v>90</v>
      </c>
      <c r="C21" s="331">
        <f t="shared" si="10"/>
        <v>626626262</v>
      </c>
      <c r="D21" s="331"/>
      <c r="E21" s="331">
        <v>626410000</v>
      </c>
      <c r="F21" s="331"/>
      <c r="G21" s="331"/>
      <c r="H21" s="331"/>
      <c r="I21" s="331"/>
      <c r="J21" s="331">
        <v>216262</v>
      </c>
      <c r="K21" s="331">
        <f t="shared" si="14"/>
        <v>626626262</v>
      </c>
      <c r="L21" s="331"/>
      <c r="M21" s="331">
        <v>626626262</v>
      </c>
      <c r="N21" s="331"/>
      <c r="O21" s="331">
        <f t="shared" si="11"/>
        <v>0</v>
      </c>
      <c r="P21" s="331"/>
      <c r="Q21" s="331"/>
      <c r="R21" s="331"/>
      <c r="S21" s="332">
        <f t="shared" si="7"/>
        <v>1</v>
      </c>
      <c r="T21" s="332"/>
      <c r="U21" s="332">
        <f t="shared" si="8"/>
        <v>1.0003452403377979</v>
      </c>
      <c r="V21" s="332"/>
      <c r="W21" s="332"/>
      <c r="X21" s="332"/>
      <c r="Y21" s="332">
        <f t="shared" si="15"/>
        <v>0</v>
      </c>
    </row>
    <row r="22" spans="1:25">
      <c r="A22" s="329" t="s">
        <v>36</v>
      </c>
      <c r="B22" s="330" t="s">
        <v>91</v>
      </c>
      <c r="C22" s="331">
        <f t="shared" si="10"/>
        <v>4562889118</v>
      </c>
      <c r="D22" s="331"/>
      <c r="E22" s="331">
        <v>3450190000</v>
      </c>
      <c r="F22" s="331"/>
      <c r="G22" s="331"/>
      <c r="H22" s="331"/>
      <c r="I22" s="331"/>
      <c r="J22" s="331">
        <v>1112699118</v>
      </c>
      <c r="K22" s="331">
        <f t="shared" si="14"/>
        <v>3723489432</v>
      </c>
      <c r="L22" s="331"/>
      <c r="M22" s="331">
        <v>3717560004</v>
      </c>
      <c r="N22" s="331"/>
      <c r="O22" s="331">
        <f t="shared" si="11"/>
        <v>0</v>
      </c>
      <c r="P22" s="331"/>
      <c r="Q22" s="331"/>
      <c r="R22" s="331">
        <v>5929428</v>
      </c>
      <c r="S22" s="332">
        <f t="shared" si="7"/>
        <v>0.81603767606609634</v>
      </c>
      <c r="T22" s="332"/>
      <c r="U22" s="332">
        <f t="shared" si="8"/>
        <v>1.0774942840829056</v>
      </c>
      <c r="V22" s="332"/>
      <c r="W22" s="332"/>
      <c r="X22" s="332"/>
      <c r="Y22" s="332">
        <f t="shared" si="15"/>
        <v>5.3288691471758678E-3</v>
      </c>
    </row>
    <row r="23" spans="1:25">
      <c r="A23" s="329" t="s">
        <v>37</v>
      </c>
      <c r="B23" s="330" t="s">
        <v>92</v>
      </c>
      <c r="C23" s="331">
        <f t="shared" si="10"/>
        <v>2791412565</v>
      </c>
      <c r="D23" s="331"/>
      <c r="E23" s="331">
        <v>2756454000</v>
      </c>
      <c r="F23" s="331"/>
      <c r="G23" s="331"/>
      <c r="H23" s="331"/>
      <c r="I23" s="331"/>
      <c r="J23" s="331">
        <v>34958565</v>
      </c>
      <c r="K23" s="331">
        <f t="shared" si="14"/>
        <v>2751107565</v>
      </c>
      <c r="L23" s="331"/>
      <c r="M23" s="331">
        <v>2704368247</v>
      </c>
      <c r="N23" s="331"/>
      <c r="O23" s="331">
        <f t="shared" si="11"/>
        <v>0</v>
      </c>
      <c r="P23" s="331"/>
      <c r="Q23" s="331"/>
      <c r="R23" s="331">
        <v>46739318</v>
      </c>
      <c r="S23" s="332">
        <f t="shared" si="7"/>
        <v>0.98556107380708879</v>
      </c>
      <c r="T23" s="332"/>
      <c r="U23" s="332">
        <f t="shared" si="8"/>
        <v>0.98110407320419646</v>
      </c>
      <c r="V23" s="332"/>
      <c r="W23" s="332"/>
      <c r="X23" s="332"/>
      <c r="Y23" s="332">
        <f t="shared" si="15"/>
        <v>1.3369918931168943</v>
      </c>
    </row>
    <row r="24" spans="1:25">
      <c r="A24" s="329" t="s">
        <v>38</v>
      </c>
      <c r="B24" s="330" t="s">
        <v>93</v>
      </c>
      <c r="C24" s="331">
        <f t="shared" si="10"/>
        <v>800277981</v>
      </c>
      <c r="D24" s="331"/>
      <c r="E24" s="331">
        <v>759475150</v>
      </c>
      <c r="F24" s="331"/>
      <c r="G24" s="331"/>
      <c r="H24" s="331"/>
      <c r="I24" s="331"/>
      <c r="J24" s="331">
        <v>40802831</v>
      </c>
      <c r="K24" s="331">
        <f t="shared" si="14"/>
        <v>791970381</v>
      </c>
      <c r="L24" s="331"/>
      <c r="M24" s="331">
        <v>763202412</v>
      </c>
      <c r="N24" s="331"/>
      <c r="O24" s="331">
        <f t="shared" si="11"/>
        <v>0</v>
      </c>
      <c r="P24" s="331"/>
      <c r="Q24" s="331"/>
      <c r="R24" s="331">
        <v>28767969</v>
      </c>
      <c r="S24" s="332">
        <f t="shared" si="7"/>
        <v>0.9896191071137318</v>
      </c>
      <c r="T24" s="332"/>
      <c r="U24" s="332">
        <f t="shared" si="8"/>
        <v>1.0049076813112319</v>
      </c>
      <c r="V24" s="332"/>
      <c r="W24" s="332"/>
      <c r="X24" s="332"/>
      <c r="Y24" s="332">
        <f t="shared" si="15"/>
        <v>0.70504835804162702</v>
      </c>
    </row>
    <row r="25" spans="1:25">
      <c r="A25" s="329" t="s">
        <v>39</v>
      </c>
      <c r="B25" s="330" t="s">
        <v>413</v>
      </c>
      <c r="C25" s="331">
        <f t="shared" si="10"/>
        <v>45000000</v>
      </c>
      <c r="D25" s="331"/>
      <c r="E25" s="331">
        <v>45000000</v>
      </c>
      <c r="F25" s="331"/>
      <c r="G25" s="331"/>
      <c r="H25" s="331"/>
      <c r="I25" s="331"/>
      <c r="J25" s="331"/>
      <c r="K25" s="331">
        <f t="shared" si="14"/>
        <v>45000000</v>
      </c>
      <c r="L25" s="331"/>
      <c r="M25" s="331">
        <v>45000000</v>
      </c>
      <c r="N25" s="331"/>
      <c r="O25" s="331">
        <f t="shared" si="11"/>
        <v>0</v>
      </c>
      <c r="P25" s="331"/>
      <c r="Q25" s="331"/>
      <c r="R25" s="331"/>
      <c r="S25" s="332">
        <f t="shared" si="7"/>
        <v>1</v>
      </c>
      <c r="T25" s="332"/>
      <c r="U25" s="332">
        <f t="shared" si="8"/>
        <v>1</v>
      </c>
      <c r="V25" s="332"/>
      <c r="W25" s="332"/>
      <c r="X25" s="332"/>
      <c r="Y25" s="332"/>
    </row>
    <row r="26" spans="1:25">
      <c r="A26" s="329" t="s">
        <v>40</v>
      </c>
      <c r="B26" s="330" t="s">
        <v>94</v>
      </c>
      <c r="C26" s="331">
        <f t="shared" si="10"/>
        <v>997450188</v>
      </c>
      <c r="D26" s="331"/>
      <c r="E26" s="331">
        <v>995006000</v>
      </c>
      <c r="F26" s="331"/>
      <c r="G26" s="331"/>
      <c r="H26" s="331"/>
      <c r="I26" s="331"/>
      <c r="J26" s="331">
        <v>2444188</v>
      </c>
      <c r="K26" s="331">
        <f t="shared" si="14"/>
        <v>985750188</v>
      </c>
      <c r="L26" s="331"/>
      <c r="M26" s="331">
        <v>966254132</v>
      </c>
      <c r="N26" s="331"/>
      <c r="O26" s="331">
        <f t="shared" si="11"/>
        <v>0</v>
      </c>
      <c r="P26" s="331"/>
      <c r="Q26" s="331"/>
      <c r="R26" s="331">
        <v>19496056</v>
      </c>
      <c r="S26" s="332">
        <f t="shared" si="7"/>
        <v>0.98827009093711249</v>
      </c>
      <c r="T26" s="332"/>
      <c r="U26" s="332">
        <f t="shared" si="8"/>
        <v>0.97110382449955079</v>
      </c>
      <c r="V26" s="332"/>
      <c r="W26" s="332"/>
      <c r="X26" s="332"/>
      <c r="Y26" s="332">
        <f t="shared" si="15"/>
        <v>7.9764960796796318</v>
      </c>
    </row>
    <row r="27" spans="1:25">
      <c r="A27" s="329" t="s">
        <v>41</v>
      </c>
      <c r="B27" s="330" t="s">
        <v>95</v>
      </c>
      <c r="C27" s="331">
        <f t="shared" si="10"/>
        <v>9528492600</v>
      </c>
      <c r="D27" s="331"/>
      <c r="E27" s="331">
        <v>9528492600</v>
      </c>
      <c r="F27" s="331"/>
      <c r="G27" s="331"/>
      <c r="H27" s="331"/>
      <c r="I27" s="331"/>
      <c r="J27" s="331"/>
      <c r="K27" s="331">
        <f t="shared" si="14"/>
        <v>8928640500</v>
      </c>
      <c r="L27" s="331"/>
      <c r="M27" s="331">
        <v>8928640500</v>
      </c>
      <c r="N27" s="331"/>
      <c r="O27" s="331">
        <f t="shared" si="11"/>
        <v>0</v>
      </c>
      <c r="P27" s="331"/>
      <c r="Q27" s="331"/>
      <c r="R27" s="331"/>
      <c r="S27" s="332">
        <f t="shared" si="7"/>
        <v>0.93704648519116229</v>
      </c>
      <c r="T27" s="332"/>
      <c r="U27" s="332">
        <f t="shared" si="8"/>
        <v>0.93704648519116229</v>
      </c>
      <c r="V27" s="332"/>
      <c r="W27" s="332"/>
      <c r="X27" s="332"/>
      <c r="Y27" s="332"/>
    </row>
    <row r="28" spans="1:25">
      <c r="A28" s="329" t="s">
        <v>71</v>
      </c>
      <c r="B28" s="330" t="s">
        <v>96</v>
      </c>
      <c r="C28" s="331">
        <f t="shared" si="10"/>
        <v>3572443775</v>
      </c>
      <c r="D28" s="331"/>
      <c r="E28" s="331">
        <v>3510304400</v>
      </c>
      <c r="F28" s="331"/>
      <c r="G28" s="331"/>
      <c r="H28" s="331"/>
      <c r="I28" s="331"/>
      <c r="J28" s="331">
        <v>62139375</v>
      </c>
      <c r="K28" s="331">
        <f t="shared" si="14"/>
        <v>3569043118</v>
      </c>
      <c r="L28" s="331"/>
      <c r="M28" s="331">
        <v>3531821103</v>
      </c>
      <c r="N28" s="331"/>
      <c r="O28" s="331">
        <f t="shared" si="11"/>
        <v>0</v>
      </c>
      <c r="P28" s="331"/>
      <c r="Q28" s="331"/>
      <c r="R28" s="331">
        <v>37222015</v>
      </c>
      <c r="S28" s="332">
        <f t="shared" si="7"/>
        <v>0.99904808662803934</v>
      </c>
      <c r="T28" s="332"/>
      <c r="U28" s="332">
        <f t="shared" si="8"/>
        <v>1.0061295832350037</v>
      </c>
      <c r="V28" s="332"/>
      <c r="W28" s="332"/>
      <c r="X28" s="332"/>
      <c r="Y28" s="332">
        <f t="shared" si="15"/>
        <v>0.59900851915552744</v>
      </c>
    </row>
    <row r="29" spans="1:25">
      <c r="A29" s="329" t="s">
        <v>72</v>
      </c>
      <c r="B29" s="330" t="s">
        <v>433</v>
      </c>
      <c r="C29" s="331">
        <f t="shared" si="10"/>
        <v>993265455</v>
      </c>
      <c r="D29" s="331"/>
      <c r="E29" s="331">
        <v>925570000</v>
      </c>
      <c r="F29" s="331"/>
      <c r="G29" s="331"/>
      <c r="H29" s="331"/>
      <c r="I29" s="331"/>
      <c r="J29" s="331">
        <v>67695455</v>
      </c>
      <c r="K29" s="331">
        <f t="shared" si="14"/>
        <v>993265055</v>
      </c>
      <c r="L29" s="331"/>
      <c r="M29" s="331">
        <v>933109350</v>
      </c>
      <c r="N29" s="331"/>
      <c r="O29" s="331">
        <f t="shared" si="11"/>
        <v>0</v>
      </c>
      <c r="P29" s="331"/>
      <c r="Q29" s="331"/>
      <c r="R29" s="331">
        <v>60155705</v>
      </c>
      <c r="S29" s="332">
        <f t="shared" si="7"/>
        <v>0.99999959728791732</v>
      </c>
      <c r="T29" s="332"/>
      <c r="U29" s="332">
        <f t="shared" si="8"/>
        <v>1.0081456291798567</v>
      </c>
      <c r="V29" s="332"/>
      <c r="W29" s="332"/>
      <c r="X29" s="332"/>
      <c r="Y29" s="332">
        <f t="shared" si="15"/>
        <v>0.8886225079660075</v>
      </c>
    </row>
    <row r="30" spans="1:25">
      <c r="A30" s="329" t="s">
        <v>73</v>
      </c>
      <c r="B30" s="330" t="s">
        <v>97</v>
      </c>
      <c r="C30" s="331">
        <f t="shared" si="10"/>
        <v>1046538620</v>
      </c>
      <c r="D30" s="331"/>
      <c r="E30" s="331">
        <v>1023884400</v>
      </c>
      <c r="F30" s="331"/>
      <c r="G30" s="331"/>
      <c r="H30" s="331"/>
      <c r="I30" s="331"/>
      <c r="J30" s="331">
        <v>22654220</v>
      </c>
      <c r="K30" s="331">
        <f t="shared" si="14"/>
        <v>1003468608</v>
      </c>
      <c r="L30" s="331"/>
      <c r="M30" s="331">
        <v>974556993</v>
      </c>
      <c r="N30" s="331"/>
      <c r="O30" s="331">
        <f t="shared" si="11"/>
        <v>0</v>
      </c>
      <c r="P30" s="331"/>
      <c r="Q30" s="331"/>
      <c r="R30" s="331">
        <v>28911615</v>
      </c>
      <c r="S30" s="332">
        <f t="shared" si="7"/>
        <v>0.958845272236585</v>
      </c>
      <c r="T30" s="332"/>
      <c r="U30" s="332">
        <f t="shared" si="8"/>
        <v>0.95182326539988305</v>
      </c>
      <c r="V30" s="332"/>
      <c r="W30" s="332"/>
      <c r="X30" s="332"/>
      <c r="Y30" s="332">
        <f t="shared" si="15"/>
        <v>1.2762132176698204</v>
      </c>
    </row>
    <row r="31" spans="1:25">
      <c r="A31" s="329" t="s">
        <v>74</v>
      </c>
      <c r="B31" s="330" t="s">
        <v>98</v>
      </c>
      <c r="C31" s="331">
        <f t="shared" si="10"/>
        <v>1096725125</v>
      </c>
      <c r="D31" s="331"/>
      <c r="E31" s="331">
        <f>974710000+100000000</f>
        <v>1074710000</v>
      </c>
      <c r="F31" s="331"/>
      <c r="G31" s="331"/>
      <c r="H31" s="331"/>
      <c r="I31" s="331"/>
      <c r="J31" s="331">
        <v>22015125</v>
      </c>
      <c r="K31" s="331">
        <f t="shared" si="14"/>
        <v>1096611056</v>
      </c>
      <c r="L31" s="331"/>
      <c r="M31" s="331">
        <f>990686580+100000000</f>
        <v>1090686580</v>
      </c>
      <c r="N31" s="331"/>
      <c r="O31" s="331">
        <f t="shared" si="11"/>
        <v>0</v>
      </c>
      <c r="P31" s="331"/>
      <c r="Q31" s="331"/>
      <c r="R31" s="331">
        <v>5924476</v>
      </c>
      <c r="S31" s="332">
        <f t="shared" si="7"/>
        <v>0.99989599125852069</v>
      </c>
      <c r="T31" s="332"/>
      <c r="U31" s="332">
        <f t="shared" si="8"/>
        <v>1.014865945231737</v>
      </c>
      <c r="V31" s="332"/>
      <c r="W31" s="332"/>
      <c r="X31" s="332"/>
      <c r="Y31" s="332">
        <f t="shared" si="15"/>
        <v>0.26910935095758032</v>
      </c>
    </row>
    <row r="32" spans="1:25">
      <c r="A32" s="329" t="s">
        <v>75</v>
      </c>
      <c r="B32" s="330" t="s">
        <v>99</v>
      </c>
      <c r="C32" s="331">
        <f t="shared" si="10"/>
        <v>471909310</v>
      </c>
      <c r="D32" s="331"/>
      <c r="E32" s="331">
        <v>471352000</v>
      </c>
      <c r="F32" s="331"/>
      <c r="G32" s="331"/>
      <c r="H32" s="331"/>
      <c r="I32" s="331"/>
      <c r="J32" s="331">
        <v>557310</v>
      </c>
      <c r="K32" s="331">
        <f t="shared" si="14"/>
        <v>471909310</v>
      </c>
      <c r="L32" s="331"/>
      <c r="M32" s="331">
        <v>429493763</v>
      </c>
      <c r="N32" s="331"/>
      <c r="O32" s="331">
        <f t="shared" si="11"/>
        <v>0</v>
      </c>
      <c r="P32" s="331"/>
      <c r="Q32" s="331"/>
      <c r="R32" s="331">
        <v>42415547</v>
      </c>
      <c r="S32" s="332">
        <f t="shared" si="7"/>
        <v>1</v>
      </c>
      <c r="T32" s="332"/>
      <c r="U32" s="332">
        <f t="shared" si="8"/>
        <v>0.9111953762792987</v>
      </c>
      <c r="V32" s="332"/>
      <c r="W32" s="332"/>
      <c r="X32" s="332"/>
      <c r="Y32" s="332">
        <f t="shared" si="15"/>
        <v>76.107636683353974</v>
      </c>
    </row>
    <row r="33" spans="1:25">
      <c r="A33" s="329" t="s">
        <v>76</v>
      </c>
      <c r="B33" s="330" t="s">
        <v>292</v>
      </c>
      <c r="C33" s="331">
        <f t="shared" si="10"/>
        <v>190000000</v>
      </c>
      <c r="D33" s="331"/>
      <c r="E33" s="331">
        <v>190000000</v>
      </c>
      <c r="F33" s="331"/>
      <c r="G33" s="331"/>
      <c r="H33" s="331"/>
      <c r="I33" s="331"/>
      <c r="J33" s="331"/>
      <c r="K33" s="331">
        <f t="shared" si="14"/>
        <v>190000000</v>
      </c>
      <c r="L33" s="331"/>
      <c r="M33" s="331">
        <v>190000000</v>
      </c>
      <c r="N33" s="331"/>
      <c r="O33" s="331">
        <f t="shared" si="11"/>
        <v>0</v>
      </c>
      <c r="P33" s="331"/>
      <c r="Q33" s="331"/>
      <c r="R33" s="331"/>
      <c r="S33" s="332">
        <f t="shared" si="7"/>
        <v>1</v>
      </c>
      <c r="T33" s="332"/>
      <c r="U33" s="332">
        <f t="shared" si="8"/>
        <v>1</v>
      </c>
      <c r="V33" s="332"/>
      <c r="W33" s="332"/>
      <c r="X33" s="332"/>
      <c r="Y33" s="332"/>
    </row>
    <row r="34" spans="1:25">
      <c r="A34" s="329" t="s">
        <v>77</v>
      </c>
      <c r="B34" s="330" t="s">
        <v>293</v>
      </c>
      <c r="C34" s="331">
        <f t="shared" si="10"/>
        <v>168000000</v>
      </c>
      <c r="D34" s="331"/>
      <c r="E34" s="331">
        <v>168000000</v>
      </c>
      <c r="F34" s="331"/>
      <c r="G34" s="331"/>
      <c r="H34" s="331"/>
      <c r="I34" s="331"/>
      <c r="J34" s="331"/>
      <c r="K34" s="331">
        <f t="shared" si="14"/>
        <v>168000000</v>
      </c>
      <c r="L34" s="331"/>
      <c r="M34" s="331">
        <v>168000000</v>
      </c>
      <c r="N34" s="331"/>
      <c r="O34" s="331">
        <f t="shared" si="11"/>
        <v>0</v>
      </c>
      <c r="P34" s="331"/>
      <c r="Q34" s="331"/>
      <c r="R34" s="331"/>
      <c r="S34" s="332">
        <f t="shared" si="7"/>
        <v>1</v>
      </c>
      <c r="T34" s="332"/>
      <c r="U34" s="332">
        <f t="shared" si="8"/>
        <v>1</v>
      </c>
      <c r="V34" s="332"/>
      <c r="W34" s="332"/>
      <c r="X34" s="332"/>
      <c r="Y34" s="332"/>
    </row>
    <row r="35" spans="1:25">
      <c r="A35" s="329" t="s">
        <v>78</v>
      </c>
      <c r="B35" s="330" t="s">
        <v>104</v>
      </c>
      <c r="C35" s="331">
        <f t="shared" si="10"/>
        <v>180000000</v>
      </c>
      <c r="D35" s="331"/>
      <c r="E35" s="331">
        <v>180000000</v>
      </c>
      <c r="F35" s="331"/>
      <c r="G35" s="331"/>
      <c r="H35" s="331"/>
      <c r="I35" s="331"/>
      <c r="J35" s="331"/>
      <c r="K35" s="331">
        <f t="shared" si="14"/>
        <v>152975994</v>
      </c>
      <c r="L35" s="331"/>
      <c r="M35" s="331">
        <v>152975994</v>
      </c>
      <c r="N35" s="331"/>
      <c r="O35" s="331">
        <f t="shared" si="11"/>
        <v>0</v>
      </c>
      <c r="P35" s="331"/>
      <c r="Q35" s="331"/>
      <c r="R35" s="331"/>
      <c r="S35" s="332">
        <f t="shared" si="7"/>
        <v>0.84986663333333334</v>
      </c>
      <c r="T35" s="332"/>
      <c r="U35" s="332">
        <f t="shared" si="8"/>
        <v>0.84986663333333334</v>
      </c>
      <c r="V35" s="332"/>
      <c r="W35" s="332"/>
      <c r="X35" s="332"/>
      <c r="Y35" s="332"/>
    </row>
    <row r="36" spans="1:25">
      <c r="A36" s="329" t="s">
        <v>79</v>
      </c>
      <c r="B36" s="330" t="s">
        <v>294</v>
      </c>
      <c r="C36" s="331">
        <f t="shared" si="10"/>
        <v>10000000</v>
      </c>
      <c r="D36" s="331"/>
      <c r="E36" s="331">
        <v>10000000</v>
      </c>
      <c r="F36" s="331"/>
      <c r="G36" s="331"/>
      <c r="H36" s="331"/>
      <c r="I36" s="331"/>
      <c r="J36" s="331"/>
      <c r="K36" s="331">
        <f t="shared" si="14"/>
        <v>10000000</v>
      </c>
      <c r="L36" s="331"/>
      <c r="M36" s="331">
        <v>10000000</v>
      </c>
      <c r="N36" s="331"/>
      <c r="O36" s="331">
        <f t="shared" si="11"/>
        <v>0</v>
      </c>
      <c r="P36" s="331"/>
      <c r="Q36" s="331"/>
      <c r="R36" s="331"/>
      <c r="S36" s="332">
        <f t="shared" si="7"/>
        <v>1</v>
      </c>
      <c r="T36" s="332"/>
      <c r="U36" s="332">
        <f t="shared" si="8"/>
        <v>1</v>
      </c>
      <c r="V36" s="332"/>
      <c r="W36" s="332"/>
      <c r="X36" s="332"/>
      <c r="Y36" s="332"/>
    </row>
    <row r="37" spans="1:25">
      <c r="A37" s="329" t="s">
        <v>80</v>
      </c>
      <c r="B37" s="330" t="s">
        <v>103</v>
      </c>
      <c r="C37" s="331">
        <f t="shared" si="10"/>
        <v>404990000</v>
      </c>
      <c r="D37" s="331"/>
      <c r="E37" s="331">
        <v>404990000</v>
      </c>
      <c r="F37" s="331"/>
      <c r="G37" s="331"/>
      <c r="H37" s="331"/>
      <c r="I37" s="331"/>
      <c r="J37" s="331"/>
      <c r="K37" s="331">
        <f t="shared" si="14"/>
        <v>404990000</v>
      </c>
      <c r="L37" s="331"/>
      <c r="M37" s="331">
        <v>404990000</v>
      </c>
      <c r="N37" s="331"/>
      <c r="O37" s="331">
        <f t="shared" si="11"/>
        <v>0</v>
      </c>
      <c r="P37" s="331"/>
      <c r="Q37" s="331"/>
      <c r="R37" s="331"/>
      <c r="S37" s="332">
        <f t="shared" si="7"/>
        <v>1</v>
      </c>
      <c r="T37" s="332"/>
      <c r="U37" s="332">
        <f t="shared" si="8"/>
        <v>1</v>
      </c>
      <c r="V37" s="332"/>
      <c r="W37" s="332"/>
      <c r="X37" s="332"/>
      <c r="Y37" s="332"/>
    </row>
    <row r="38" spans="1:25" ht="25.5">
      <c r="A38" s="329" t="s">
        <v>81</v>
      </c>
      <c r="B38" s="330" t="s">
        <v>290</v>
      </c>
      <c r="C38" s="331">
        <f t="shared" si="10"/>
        <v>4503692122</v>
      </c>
      <c r="D38" s="331"/>
      <c r="E38" s="331">
        <v>4424994000</v>
      </c>
      <c r="F38" s="331"/>
      <c r="G38" s="331"/>
      <c r="H38" s="331"/>
      <c r="I38" s="331"/>
      <c r="J38" s="331">
        <v>78698122</v>
      </c>
      <c r="K38" s="331">
        <f>L38+M38+O38+R38</f>
        <v>3936861005</v>
      </c>
      <c r="L38" s="331"/>
      <c r="M38" s="331">
        <v>2970320755</v>
      </c>
      <c r="N38" s="331"/>
      <c r="O38" s="331">
        <f t="shared" si="11"/>
        <v>0</v>
      </c>
      <c r="P38" s="331"/>
      <c r="Q38" s="331"/>
      <c r="R38" s="331">
        <f>116540250+850000000</f>
        <v>966540250</v>
      </c>
      <c r="S38" s="332">
        <f t="shared" si="7"/>
        <v>0.87414079345453088</v>
      </c>
      <c r="T38" s="332"/>
      <c r="U38" s="332">
        <f t="shared" si="8"/>
        <v>0.67125983786644683</v>
      </c>
      <c r="V38" s="332"/>
      <c r="W38" s="332"/>
      <c r="X38" s="332"/>
      <c r="Y38" s="332">
        <f t="shared" si="15"/>
        <v>12.281617723990923</v>
      </c>
    </row>
    <row r="39" spans="1:25">
      <c r="A39" s="329" t="s">
        <v>141</v>
      </c>
      <c r="B39" s="330" t="s">
        <v>291</v>
      </c>
      <c r="C39" s="331">
        <f t="shared" si="10"/>
        <v>2185125468</v>
      </c>
      <c r="D39" s="331"/>
      <c r="E39" s="331">
        <v>2163619500</v>
      </c>
      <c r="F39" s="331"/>
      <c r="G39" s="331"/>
      <c r="H39" s="331"/>
      <c r="I39" s="331"/>
      <c r="J39" s="331">
        <v>21505968</v>
      </c>
      <c r="K39" s="331">
        <f>L39+M39+O39+R39</f>
        <v>2145222422</v>
      </c>
      <c r="L39" s="331"/>
      <c r="M39" s="331">
        <v>2032230783</v>
      </c>
      <c r="N39" s="331"/>
      <c r="O39" s="331">
        <f t="shared" si="11"/>
        <v>0</v>
      </c>
      <c r="P39" s="331"/>
      <c r="Q39" s="331"/>
      <c r="R39" s="331">
        <v>112991639</v>
      </c>
      <c r="S39" s="332">
        <f t="shared" si="7"/>
        <v>0.98173878498770029</v>
      </c>
      <c r="T39" s="332"/>
      <c r="U39" s="332">
        <f t="shared" si="8"/>
        <v>0.93927364908663469</v>
      </c>
      <c r="V39" s="332"/>
      <c r="W39" s="332"/>
      <c r="X39" s="332"/>
      <c r="Y39" s="332">
        <f t="shared" si="15"/>
        <v>5.2539666663690747</v>
      </c>
    </row>
    <row r="40" spans="1:25">
      <c r="A40" s="329" t="s">
        <v>142</v>
      </c>
      <c r="B40" s="330" t="s">
        <v>295</v>
      </c>
      <c r="C40" s="331">
        <f t="shared" si="10"/>
        <v>7418306800</v>
      </c>
      <c r="D40" s="331"/>
      <c r="E40" s="331">
        <v>7418306800</v>
      </c>
      <c r="F40" s="331"/>
      <c r="G40" s="331"/>
      <c r="H40" s="331"/>
      <c r="I40" s="331"/>
      <c r="J40" s="331"/>
      <c r="K40" s="331">
        <f t="shared" si="14"/>
        <v>7348277109</v>
      </c>
      <c r="L40" s="331"/>
      <c r="M40" s="331">
        <v>7348277109</v>
      </c>
      <c r="N40" s="331"/>
      <c r="O40" s="331">
        <f t="shared" si="11"/>
        <v>0</v>
      </c>
      <c r="P40" s="331"/>
      <c r="Q40" s="331"/>
      <c r="R40" s="331"/>
      <c r="S40" s="332">
        <f t="shared" si="7"/>
        <v>0.99055988207443779</v>
      </c>
      <c r="T40" s="332"/>
      <c r="U40" s="332">
        <f t="shared" si="8"/>
        <v>0.99055988207443779</v>
      </c>
      <c r="V40" s="332"/>
      <c r="W40" s="332"/>
      <c r="X40" s="332"/>
      <c r="Y40" s="332"/>
    </row>
    <row r="41" spans="1:25">
      <c r="A41" s="329" t="s">
        <v>143</v>
      </c>
      <c r="B41" s="330" t="s">
        <v>296</v>
      </c>
      <c r="C41" s="331">
        <f t="shared" si="10"/>
        <v>1495675000</v>
      </c>
      <c r="D41" s="331"/>
      <c r="E41" s="331">
        <v>1495675000</v>
      </c>
      <c r="F41" s="331"/>
      <c r="G41" s="331"/>
      <c r="H41" s="331"/>
      <c r="I41" s="331"/>
      <c r="J41" s="331"/>
      <c r="K41" s="331">
        <f t="shared" si="14"/>
        <v>1495675000</v>
      </c>
      <c r="L41" s="331"/>
      <c r="M41" s="331">
        <v>1495675000</v>
      </c>
      <c r="N41" s="331"/>
      <c r="O41" s="331">
        <f t="shared" si="11"/>
        <v>0</v>
      </c>
      <c r="P41" s="331"/>
      <c r="Q41" s="331"/>
      <c r="R41" s="331"/>
      <c r="S41" s="332">
        <f t="shared" si="7"/>
        <v>1</v>
      </c>
      <c r="T41" s="332"/>
      <c r="U41" s="332">
        <f t="shared" si="8"/>
        <v>1</v>
      </c>
      <c r="V41" s="332"/>
      <c r="W41" s="332"/>
      <c r="X41" s="332"/>
      <c r="Y41" s="332"/>
    </row>
    <row r="42" spans="1:25">
      <c r="A42" s="329" t="s">
        <v>144</v>
      </c>
      <c r="B42" s="330" t="s">
        <v>297</v>
      </c>
      <c r="C42" s="331">
        <f t="shared" si="10"/>
        <v>88000000</v>
      </c>
      <c r="D42" s="331"/>
      <c r="E42" s="331">
        <v>88000000</v>
      </c>
      <c r="F42" s="331"/>
      <c r="G42" s="331"/>
      <c r="H42" s="331"/>
      <c r="I42" s="331"/>
      <c r="J42" s="331"/>
      <c r="K42" s="331">
        <f t="shared" si="14"/>
        <v>88000000</v>
      </c>
      <c r="L42" s="331"/>
      <c r="M42" s="331">
        <v>88000000</v>
      </c>
      <c r="N42" s="331"/>
      <c r="O42" s="331">
        <f t="shared" si="11"/>
        <v>0</v>
      </c>
      <c r="P42" s="331"/>
      <c r="Q42" s="331"/>
      <c r="R42" s="331"/>
      <c r="S42" s="332">
        <f t="shared" si="7"/>
        <v>1</v>
      </c>
      <c r="T42" s="332"/>
      <c r="U42" s="332">
        <f t="shared" si="8"/>
        <v>1</v>
      </c>
      <c r="V42" s="332"/>
      <c r="W42" s="332"/>
      <c r="X42" s="332"/>
      <c r="Y42" s="332"/>
    </row>
    <row r="43" spans="1:25">
      <c r="A43" s="329" t="s">
        <v>145</v>
      </c>
      <c r="B43" s="330" t="s">
        <v>298</v>
      </c>
      <c r="C43" s="331">
        <f t="shared" si="10"/>
        <v>1688814000</v>
      </c>
      <c r="D43" s="331"/>
      <c r="E43" s="331">
        <v>1688814000</v>
      </c>
      <c r="F43" s="331"/>
      <c r="G43" s="331"/>
      <c r="H43" s="331"/>
      <c r="I43" s="331"/>
      <c r="J43" s="331"/>
      <c r="K43" s="331">
        <f t="shared" si="14"/>
        <v>1649295535</v>
      </c>
      <c r="L43" s="331"/>
      <c r="M43" s="331">
        <v>1649295535</v>
      </c>
      <c r="N43" s="331"/>
      <c r="O43" s="331">
        <f t="shared" si="11"/>
        <v>0</v>
      </c>
      <c r="P43" s="331"/>
      <c r="Q43" s="331"/>
      <c r="R43" s="331"/>
      <c r="S43" s="332">
        <f t="shared" si="7"/>
        <v>0.97659987127060766</v>
      </c>
      <c r="T43" s="332"/>
      <c r="U43" s="332">
        <f t="shared" si="8"/>
        <v>0.97659987127060766</v>
      </c>
      <c r="V43" s="332"/>
      <c r="W43" s="332"/>
      <c r="X43" s="332"/>
      <c r="Y43" s="332"/>
    </row>
    <row r="44" spans="1:25">
      <c r="A44" s="329" t="s">
        <v>146</v>
      </c>
      <c r="B44" s="330" t="s">
        <v>299</v>
      </c>
      <c r="C44" s="331">
        <f t="shared" si="10"/>
        <v>11800000</v>
      </c>
      <c r="D44" s="331"/>
      <c r="E44" s="331">
        <v>11800000</v>
      </c>
      <c r="F44" s="331"/>
      <c r="G44" s="331"/>
      <c r="H44" s="331"/>
      <c r="I44" s="331"/>
      <c r="J44" s="331"/>
      <c r="K44" s="331">
        <f t="shared" si="14"/>
        <v>11800000</v>
      </c>
      <c r="L44" s="331"/>
      <c r="M44" s="331">
        <v>11800000</v>
      </c>
      <c r="N44" s="331"/>
      <c r="O44" s="331">
        <f t="shared" si="11"/>
        <v>0</v>
      </c>
      <c r="P44" s="331"/>
      <c r="Q44" s="331"/>
      <c r="R44" s="331"/>
      <c r="S44" s="332">
        <f t="shared" ref="S44:S75" si="16">K44/C44</f>
        <v>1</v>
      </c>
      <c r="T44" s="332"/>
      <c r="U44" s="332">
        <f t="shared" ref="U44:U75" si="17">M44/E44</f>
        <v>1</v>
      </c>
      <c r="V44" s="332"/>
      <c r="W44" s="332"/>
      <c r="X44" s="332"/>
      <c r="Y44" s="332"/>
    </row>
    <row r="45" spans="1:25" ht="25.5">
      <c r="A45" s="329" t="s">
        <v>147</v>
      </c>
      <c r="B45" s="330" t="s">
        <v>300</v>
      </c>
      <c r="C45" s="331">
        <f t="shared" si="10"/>
        <v>38500000</v>
      </c>
      <c r="D45" s="331"/>
      <c r="E45" s="331">
        <v>38500000</v>
      </c>
      <c r="F45" s="331"/>
      <c r="G45" s="331"/>
      <c r="H45" s="331"/>
      <c r="I45" s="331"/>
      <c r="J45" s="331"/>
      <c r="K45" s="331">
        <f t="shared" si="14"/>
        <v>38500000</v>
      </c>
      <c r="L45" s="331"/>
      <c r="M45" s="331">
        <v>38500000</v>
      </c>
      <c r="N45" s="331"/>
      <c r="O45" s="331">
        <f t="shared" si="11"/>
        <v>0</v>
      </c>
      <c r="P45" s="331"/>
      <c r="Q45" s="331"/>
      <c r="R45" s="331"/>
      <c r="S45" s="332">
        <f t="shared" si="16"/>
        <v>1</v>
      </c>
      <c r="T45" s="332"/>
      <c r="U45" s="332">
        <f t="shared" si="17"/>
        <v>1</v>
      </c>
      <c r="V45" s="332"/>
      <c r="W45" s="332"/>
      <c r="X45" s="332"/>
      <c r="Y45" s="332"/>
    </row>
    <row r="46" spans="1:25">
      <c r="A46" s="329" t="s">
        <v>302</v>
      </c>
      <c r="B46" s="330" t="s">
        <v>396</v>
      </c>
      <c r="C46" s="331">
        <f t="shared" si="10"/>
        <v>11100000</v>
      </c>
      <c r="D46" s="331"/>
      <c r="E46" s="331">
        <v>11100000</v>
      </c>
      <c r="F46" s="331"/>
      <c r="G46" s="331"/>
      <c r="H46" s="331"/>
      <c r="I46" s="331"/>
      <c r="J46" s="331"/>
      <c r="K46" s="331">
        <f t="shared" si="14"/>
        <v>11100000</v>
      </c>
      <c r="L46" s="331"/>
      <c r="M46" s="331">
        <v>11100000</v>
      </c>
      <c r="N46" s="331"/>
      <c r="O46" s="331">
        <f t="shared" si="11"/>
        <v>0</v>
      </c>
      <c r="P46" s="331"/>
      <c r="Q46" s="331"/>
      <c r="R46" s="331"/>
      <c r="S46" s="332">
        <f t="shared" si="16"/>
        <v>1</v>
      </c>
      <c r="T46" s="332"/>
      <c r="U46" s="332">
        <f t="shared" si="17"/>
        <v>1</v>
      </c>
      <c r="V46" s="332"/>
      <c r="W46" s="332"/>
      <c r="X46" s="332"/>
      <c r="Y46" s="332"/>
    </row>
    <row r="47" spans="1:25" ht="25.5">
      <c r="A47" s="329" t="s">
        <v>445</v>
      </c>
      <c r="B47" s="330" t="s">
        <v>301</v>
      </c>
      <c r="C47" s="331">
        <f t="shared" si="10"/>
        <v>1000000000</v>
      </c>
      <c r="D47" s="331"/>
      <c r="E47" s="331">
        <v>1000000000</v>
      </c>
      <c r="F47" s="331"/>
      <c r="G47" s="331"/>
      <c r="H47" s="331"/>
      <c r="I47" s="331"/>
      <c r="J47" s="331"/>
      <c r="K47" s="331">
        <f t="shared" si="14"/>
        <v>1000000000</v>
      </c>
      <c r="L47" s="331"/>
      <c r="M47" s="331">
        <v>1000000000</v>
      </c>
      <c r="N47" s="331"/>
      <c r="O47" s="331">
        <f t="shared" si="11"/>
        <v>0</v>
      </c>
      <c r="P47" s="331"/>
      <c r="Q47" s="331"/>
      <c r="R47" s="331"/>
      <c r="S47" s="332">
        <f t="shared" si="16"/>
        <v>1</v>
      </c>
      <c r="T47" s="332"/>
      <c r="U47" s="332">
        <f t="shared" si="17"/>
        <v>1</v>
      </c>
      <c r="V47" s="332"/>
      <c r="W47" s="332"/>
      <c r="X47" s="332"/>
      <c r="Y47" s="332"/>
    </row>
    <row r="48" spans="1:25">
      <c r="A48" s="329" t="s">
        <v>303</v>
      </c>
      <c r="B48" s="330" t="s">
        <v>459</v>
      </c>
      <c r="C48" s="331">
        <f t="shared" si="10"/>
        <v>26000000</v>
      </c>
      <c r="D48" s="331"/>
      <c r="E48" s="331">
        <v>26000000</v>
      </c>
      <c r="F48" s="331"/>
      <c r="G48" s="331"/>
      <c r="H48" s="331"/>
      <c r="I48" s="331"/>
      <c r="J48" s="331"/>
      <c r="K48" s="331">
        <f t="shared" si="14"/>
        <v>26000000</v>
      </c>
      <c r="L48" s="331"/>
      <c r="M48" s="331">
        <v>26000000</v>
      </c>
      <c r="N48" s="331"/>
      <c r="O48" s="331"/>
      <c r="P48" s="331"/>
      <c r="Q48" s="331"/>
      <c r="R48" s="331"/>
      <c r="S48" s="332">
        <f t="shared" si="16"/>
        <v>1</v>
      </c>
      <c r="T48" s="332"/>
      <c r="U48" s="332">
        <f t="shared" si="17"/>
        <v>1</v>
      </c>
      <c r="V48" s="332"/>
      <c r="W48" s="332"/>
      <c r="X48" s="332"/>
      <c r="Y48" s="332"/>
    </row>
    <row r="49" spans="1:25">
      <c r="A49" s="329" t="s">
        <v>304</v>
      </c>
      <c r="B49" s="330" t="s">
        <v>312</v>
      </c>
      <c r="C49" s="331">
        <f t="shared" si="10"/>
        <v>703640773</v>
      </c>
      <c r="D49" s="331"/>
      <c r="E49" s="331">
        <v>671000000</v>
      </c>
      <c r="F49" s="331"/>
      <c r="G49" s="331"/>
      <c r="H49" s="331"/>
      <c r="I49" s="331"/>
      <c r="J49" s="331">
        <v>32640773</v>
      </c>
      <c r="K49" s="331">
        <f t="shared" si="14"/>
        <v>620146773</v>
      </c>
      <c r="L49" s="331"/>
      <c r="M49" s="331">
        <v>558511707</v>
      </c>
      <c r="N49" s="331"/>
      <c r="O49" s="331">
        <f t="shared" si="11"/>
        <v>0</v>
      </c>
      <c r="P49" s="331"/>
      <c r="Q49" s="331"/>
      <c r="R49" s="331">
        <v>61635066</v>
      </c>
      <c r="S49" s="332">
        <f t="shared" si="16"/>
        <v>0.88134002007299828</v>
      </c>
      <c r="T49" s="332"/>
      <c r="U49" s="332">
        <f t="shared" si="17"/>
        <v>0.83235723845007448</v>
      </c>
      <c r="V49" s="332"/>
      <c r="W49" s="332"/>
      <c r="X49" s="332"/>
      <c r="Y49" s="332">
        <f t="shared" si="15"/>
        <v>1.888284508458179</v>
      </c>
    </row>
    <row r="50" spans="1:25">
      <c r="A50" s="329" t="s">
        <v>305</v>
      </c>
      <c r="B50" s="330" t="s">
        <v>313</v>
      </c>
      <c r="C50" s="331">
        <f t="shared" si="10"/>
        <v>1707813596</v>
      </c>
      <c r="D50" s="331"/>
      <c r="E50" s="331">
        <v>1632220000</v>
      </c>
      <c r="F50" s="331"/>
      <c r="G50" s="331"/>
      <c r="H50" s="331"/>
      <c r="I50" s="331"/>
      <c r="J50" s="331">
        <v>75593596</v>
      </c>
      <c r="K50" s="331">
        <f t="shared" si="14"/>
        <v>1707813596</v>
      </c>
      <c r="L50" s="331"/>
      <c r="M50" s="331">
        <v>1648223276</v>
      </c>
      <c r="N50" s="331"/>
      <c r="O50" s="331">
        <f t="shared" si="11"/>
        <v>0</v>
      </c>
      <c r="P50" s="331"/>
      <c r="Q50" s="331"/>
      <c r="R50" s="331">
        <v>59590320</v>
      </c>
      <c r="S50" s="332">
        <f t="shared" si="16"/>
        <v>1</v>
      </c>
      <c r="T50" s="332"/>
      <c r="U50" s="332">
        <f t="shared" si="17"/>
        <v>1.0098046072220657</v>
      </c>
      <c r="V50" s="332"/>
      <c r="W50" s="332"/>
      <c r="X50" s="332"/>
      <c r="Y50" s="332">
        <f t="shared" si="15"/>
        <v>0.78829852200707584</v>
      </c>
    </row>
    <row r="51" spans="1:25">
      <c r="A51" s="329" t="s">
        <v>306</v>
      </c>
      <c r="B51" s="330" t="s">
        <v>314</v>
      </c>
      <c r="C51" s="331">
        <f t="shared" si="10"/>
        <v>2894053736</v>
      </c>
      <c r="D51" s="331"/>
      <c r="E51" s="331">
        <v>2382982780</v>
      </c>
      <c r="F51" s="331"/>
      <c r="G51" s="331"/>
      <c r="H51" s="331"/>
      <c r="I51" s="331"/>
      <c r="J51" s="331">
        <v>511070956</v>
      </c>
      <c r="K51" s="331">
        <f t="shared" si="14"/>
        <v>2744082736</v>
      </c>
      <c r="L51" s="331"/>
      <c r="M51" s="331">
        <v>2496610895</v>
      </c>
      <c r="N51" s="331"/>
      <c r="O51" s="331">
        <f t="shared" si="11"/>
        <v>0</v>
      </c>
      <c r="P51" s="331"/>
      <c r="Q51" s="331"/>
      <c r="R51" s="331">
        <v>247471841</v>
      </c>
      <c r="S51" s="332">
        <f t="shared" si="16"/>
        <v>0.94817960767816234</v>
      </c>
      <c r="T51" s="332"/>
      <c r="U51" s="332">
        <f t="shared" si="17"/>
        <v>1.0476831456583164</v>
      </c>
      <c r="V51" s="332"/>
      <c r="W51" s="332"/>
      <c r="X51" s="332"/>
      <c r="Y51" s="332">
        <f t="shared" si="15"/>
        <v>0.48422207933099609</v>
      </c>
    </row>
    <row r="52" spans="1:25">
      <c r="A52" s="329" t="s">
        <v>307</v>
      </c>
      <c r="B52" s="330" t="s">
        <v>315</v>
      </c>
      <c r="C52" s="331">
        <f t="shared" si="10"/>
        <v>1819869266</v>
      </c>
      <c r="D52" s="331"/>
      <c r="E52" s="331">
        <v>1690126000</v>
      </c>
      <c r="F52" s="331"/>
      <c r="G52" s="331"/>
      <c r="H52" s="331"/>
      <c r="I52" s="331"/>
      <c r="J52" s="331">
        <v>129743266</v>
      </c>
      <c r="K52" s="331">
        <f t="shared" si="14"/>
        <v>1770203266</v>
      </c>
      <c r="L52" s="331"/>
      <c r="M52" s="331">
        <v>1633710823</v>
      </c>
      <c r="N52" s="331"/>
      <c r="O52" s="331">
        <f t="shared" si="11"/>
        <v>0</v>
      </c>
      <c r="P52" s="331"/>
      <c r="Q52" s="331"/>
      <c r="R52" s="331">
        <v>136492443</v>
      </c>
      <c r="S52" s="332">
        <f t="shared" si="16"/>
        <v>0.97270902864953379</v>
      </c>
      <c r="T52" s="332"/>
      <c r="U52" s="332">
        <f t="shared" si="17"/>
        <v>0.9666207270937196</v>
      </c>
      <c r="V52" s="332"/>
      <c r="W52" s="332"/>
      <c r="X52" s="332"/>
      <c r="Y52" s="332">
        <f t="shared" si="15"/>
        <v>1.0520194782209351</v>
      </c>
    </row>
    <row r="53" spans="1:25">
      <c r="A53" s="329" t="s">
        <v>308</v>
      </c>
      <c r="B53" s="330" t="s">
        <v>397</v>
      </c>
      <c r="C53" s="331">
        <f t="shared" si="10"/>
        <v>1651643825</v>
      </c>
      <c r="D53" s="331"/>
      <c r="E53" s="331">
        <v>1503284120</v>
      </c>
      <c r="F53" s="331"/>
      <c r="G53" s="331"/>
      <c r="H53" s="331"/>
      <c r="I53" s="331"/>
      <c r="J53" s="331">
        <v>148359705</v>
      </c>
      <c r="K53" s="331">
        <f t="shared" si="14"/>
        <v>1639588269</v>
      </c>
      <c r="L53" s="331"/>
      <c r="M53" s="331">
        <v>1522051848</v>
      </c>
      <c r="N53" s="331"/>
      <c r="O53" s="331">
        <f t="shared" si="11"/>
        <v>0</v>
      </c>
      <c r="P53" s="331"/>
      <c r="Q53" s="331"/>
      <c r="R53" s="331">
        <v>117536421</v>
      </c>
      <c r="S53" s="332">
        <f t="shared" si="16"/>
        <v>0.99270087423358366</v>
      </c>
      <c r="T53" s="332"/>
      <c r="U53" s="332">
        <f t="shared" si="17"/>
        <v>1.0124844849688162</v>
      </c>
      <c r="V53" s="332"/>
      <c r="W53" s="332"/>
      <c r="X53" s="332"/>
      <c r="Y53" s="332">
        <f t="shared" si="15"/>
        <v>0.79223951678793103</v>
      </c>
    </row>
    <row r="54" spans="1:25">
      <c r="A54" s="329" t="s">
        <v>309</v>
      </c>
      <c r="B54" s="330" t="s">
        <v>316</v>
      </c>
      <c r="C54" s="331">
        <f t="shared" si="10"/>
        <v>3518240255</v>
      </c>
      <c r="D54" s="331"/>
      <c r="E54" s="331">
        <v>3091706140</v>
      </c>
      <c r="F54" s="331"/>
      <c r="G54" s="331"/>
      <c r="H54" s="331"/>
      <c r="I54" s="331"/>
      <c r="J54" s="331">
        <v>426534115</v>
      </c>
      <c r="K54" s="331">
        <f t="shared" si="14"/>
        <v>3500744255</v>
      </c>
      <c r="L54" s="331"/>
      <c r="M54" s="331">
        <v>3152189479</v>
      </c>
      <c r="N54" s="331"/>
      <c r="O54" s="331">
        <f t="shared" si="11"/>
        <v>0</v>
      </c>
      <c r="P54" s="331"/>
      <c r="Q54" s="331"/>
      <c r="R54" s="331">
        <v>348554776</v>
      </c>
      <c r="S54" s="332">
        <f t="shared" si="16"/>
        <v>0.99502705934447333</v>
      </c>
      <c r="T54" s="332"/>
      <c r="U54" s="332">
        <f t="shared" si="17"/>
        <v>1.019563094376104</v>
      </c>
      <c r="V54" s="332"/>
      <c r="W54" s="332"/>
      <c r="X54" s="332"/>
      <c r="Y54" s="332">
        <f t="shared" si="15"/>
        <v>0.81717912762968559</v>
      </c>
    </row>
    <row r="55" spans="1:25">
      <c r="A55" s="329" t="s">
        <v>310</v>
      </c>
      <c r="B55" s="330" t="s">
        <v>317</v>
      </c>
      <c r="C55" s="331">
        <f t="shared" si="10"/>
        <v>1489916278</v>
      </c>
      <c r="D55" s="331"/>
      <c r="E55" s="331">
        <v>1462145000</v>
      </c>
      <c r="F55" s="331"/>
      <c r="G55" s="331"/>
      <c r="H55" s="331"/>
      <c r="I55" s="331"/>
      <c r="J55" s="331">
        <v>27771278</v>
      </c>
      <c r="K55" s="331">
        <f t="shared" si="14"/>
        <v>1359332278</v>
      </c>
      <c r="L55" s="331"/>
      <c r="M55" s="331">
        <v>1322649501</v>
      </c>
      <c r="N55" s="331"/>
      <c r="O55" s="331">
        <f t="shared" si="11"/>
        <v>0</v>
      </c>
      <c r="P55" s="331"/>
      <c r="Q55" s="331"/>
      <c r="R55" s="331">
        <v>36682777</v>
      </c>
      <c r="S55" s="332">
        <f t="shared" si="16"/>
        <v>0.9123548068249242</v>
      </c>
      <c r="T55" s="332"/>
      <c r="U55" s="332">
        <f t="shared" si="17"/>
        <v>0.90459530415930023</v>
      </c>
      <c r="V55" s="332"/>
      <c r="W55" s="332"/>
      <c r="X55" s="332"/>
      <c r="Y55" s="332">
        <f t="shared" si="15"/>
        <v>1.3208890494704637</v>
      </c>
    </row>
    <row r="56" spans="1:25">
      <c r="A56" s="329" t="s">
        <v>311</v>
      </c>
      <c r="B56" s="330" t="s">
        <v>318</v>
      </c>
      <c r="C56" s="331">
        <f t="shared" si="10"/>
        <v>6412842823</v>
      </c>
      <c r="D56" s="331"/>
      <c r="E56" s="331">
        <v>5986440871</v>
      </c>
      <c r="F56" s="331"/>
      <c r="G56" s="331"/>
      <c r="H56" s="331"/>
      <c r="I56" s="331"/>
      <c r="J56" s="331">
        <v>426401952</v>
      </c>
      <c r="K56" s="331">
        <f t="shared" ref="K56:K109" si="18">L56+M56+O56+R56</f>
        <v>6303015267</v>
      </c>
      <c r="L56" s="331"/>
      <c r="M56" s="331">
        <v>5761860302</v>
      </c>
      <c r="N56" s="331"/>
      <c r="O56" s="331">
        <f t="shared" si="11"/>
        <v>0</v>
      </c>
      <c r="P56" s="331"/>
      <c r="Q56" s="331"/>
      <c r="R56" s="331">
        <v>541154965</v>
      </c>
      <c r="S56" s="332">
        <f t="shared" si="16"/>
        <v>0.98287381134524343</v>
      </c>
      <c r="T56" s="332"/>
      <c r="U56" s="332">
        <f t="shared" si="17"/>
        <v>0.96248512699959476</v>
      </c>
      <c r="V56" s="332"/>
      <c r="W56" s="332"/>
      <c r="X56" s="332"/>
      <c r="Y56" s="332">
        <f t="shared" si="15"/>
        <v>1.2691193425868745</v>
      </c>
    </row>
    <row r="57" spans="1:25">
      <c r="A57" s="329" t="s">
        <v>353</v>
      </c>
      <c r="B57" s="330" t="s">
        <v>319</v>
      </c>
      <c r="C57" s="331">
        <f t="shared" si="10"/>
        <v>5449953051</v>
      </c>
      <c r="D57" s="331"/>
      <c r="E57" s="331">
        <v>5402707120</v>
      </c>
      <c r="F57" s="331"/>
      <c r="G57" s="331"/>
      <c r="H57" s="331"/>
      <c r="I57" s="331"/>
      <c r="J57" s="331">
        <v>47245931</v>
      </c>
      <c r="K57" s="331">
        <f t="shared" si="18"/>
        <v>5263816051</v>
      </c>
      <c r="L57" s="331"/>
      <c r="M57" s="331">
        <v>4854634009</v>
      </c>
      <c r="N57" s="331"/>
      <c r="O57" s="331">
        <f t="shared" si="11"/>
        <v>0</v>
      </c>
      <c r="P57" s="331"/>
      <c r="Q57" s="331"/>
      <c r="R57" s="331">
        <v>409182042</v>
      </c>
      <c r="S57" s="332">
        <f t="shared" si="16"/>
        <v>0.96584612779997325</v>
      </c>
      <c r="T57" s="332"/>
      <c r="U57" s="332">
        <f t="shared" si="17"/>
        <v>0.8985558352828128</v>
      </c>
      <c r="V57" s="332"/>
      <c r="W57" s="332"/>
      <c r="X57" s="332"/>
      <c r="Y57" s="332">
        <f t="shared" si="15"/>
        <v>8.660683223704492</v>
      </c>
    </row>
    <row r="58" spans="1:25">
      <c r="A58" s="329" t="s">
        <v>354</v>
      </c>
      <c r="B58" s="330" t="s">
        <v>320</v>
      </c>
      <c r="C58" s="331">
        <f t="shared" si="10"/>
        <v>2694377843</v>
      </c>
      <c r="D58" s="331"/>
      <c r="E58" s="331">
        <v>2140416360</v>
      </c>
      <c r="F58" s="331"/>
      <c r="G58" s="331"/>
      <c r="H58" s="331"/>
      <c r="I58" s="331"/>
      <c r="J58" s="331">
        <v>553961483</v>
      </c>
      <c r="K58" s="331">
        <f t="shared" si="18"/>
        <v>2574357843</v>
      </c>
      <c r="L58" s="331"/>
      <c r="M58" s="331">
        <v>2184253467</v>
      </c>
      <c r="N58" s="331"/>
      <c r="O58" s="331">
        <f t="shared" si="11"/>
        <v>0</v>
      </c>
      <c r="P58" s="331"/>
      <c r="Q58" s="331"/>
      <c r="R58" s="331">
        <v>390104376</v>
      </c>
      <c r="S58" s="332">
        <f t="shared" si="16"/>
        <v>0.95545539378902922</v>
      </c>
      <c r="T58" s="332"/>
      <c r="U58" s="332">
        <f t="shared" si="17"/>
        <v>1.020480644709705</v>
      </c>
      <c r="V58" s="332"/>
      <c r="W58" s="332"/>
      <c r="X58" s="332"/>
      <c r="Y58" s="332">
        <f t="shared" si="15"/>
        <v>0.70420848375120693</v>
      </c>
    </row>
    <row r="59" spans="1:25">
      <c r="A59" s="329" t="s">
        <v>355</v>
      </c>
      <c r="B59" s="330" t="s">
        <v>321</v>
      </c>
      <c r="C59" s="331">
        <f t="shared" si="10"/>
        <v>5002451866</v>
      </c>
      <c r="D59" s="331"/>
      <c r="E59" s="331">
        <v>4138268990</v>
      </c>
      <c r="F59" s="331"/>
      <c r="G59" s="331"/>
      <c r="H59" s="331"/>
      <c r="I59" s="331"/>
      <c r="J59" s="331">
        <v>864182876</v>
      </c>
      <c r="K59" s="331">
        <f t="shared" si="18"/>
        <v>4886747866</v>
      </c>
      <c r="L59" s="331"/>
      <c r="M59" s="331">
        <v>4079115362</v>
      </c>
      <c r="N59" s="331"/>
      <c r="O59" s="331">
        <f t="shared" si="11"/>
        <v>0</v>
      </c>
      <c r="P59" s="331"/>
      <c r="Q59" s="331"/>
      <c r="R59" s="331">
        <v>807632504</v>
      </c>
      <c r="S59" s="332">
        <f t="shared" si="16"/>
        <v>0.9768705420663012</v>
      </c>
      <c r="T59" s="332"/>
      <c r="U59" s="332">
        <f t="shared" si="17"/>
        <v>0.98570570735180751</v>
      </c>
      <c r="V59" s="332"/>
      <c r="W59" s="332"/>
      <c r="X59" s="332"/>
      <c r="Y59" s="332">
        <f t="shared" si="15"/>
        <v>0.93456203128931248</v>
      </c>
    </row>
    <row r="60" spans="1:25">
      <c r="A60" s="329" t="s">
        <v>356</v>
      </c>
      <c r="B60" s="330" t="s">
        <v>322</v>
      </c>
      <c r="C60" s="331">
        <f t="shared" si="10"/>
        <v>3714546931</v>
      </c>
      <c r="D60" s="331"/>
      <c r="E60" s="331">
        <v>3576948000</v>
      </c>
      <c r="F60" s="331"/>
      <c r="G60" s="331"/>
      <c r="H60" s="331"/>
      <c r="I60" s="331"/>
      <c r="J60" s="331">
        <v>137598931</v>
      </c>
      <c r="K60" s="331">
        <f t="shared" si="18"/>
        <v>3261146931</v>
      </c>
      <c r="L60" s="331"/>
      <c r="M60" s="331">
        <v>3164853403</v>
      </c>
      <c r="N60" s="331"/>
      <c r="O60" s="331">
        <f t="shared" si="11"/>
        <v>0</v>
      </c>
      <c r="P60" s="331"/>
      <c r="Q60" s="331"/>
      <c r="R60" s="331">
        <v>96293528</v>
      </c>
      <c r="S60" s="332">
        <f t="shared" si="16"/>
        <v>0.87793935346027807</v>
      </c>
      <c r="T60" s="332"/>
      <c r="U60" s="332">
        <f t="shared" si="17"/>
        <v>0.88479156057063169</v>
      </c>
      <c r="V60" s="332"/>
      <c r="W60" s="332"/>
      <c r="X60" s="332"/>
      <c r="Y60" s="332">
        <f t="shared" si="15"/>
        <v>0.69981305305344266</v>
      </c>
    </row>
    <row r="61" spans="1:25">
      <c r="A61" s="329" t="s">
        <v>357</v>
      </c>
      <c r="B61" s="330" t="s">
        <v>323</v>
      </c>
      <c r="C61" s="331">
        <f t="shared" si="10"/>
        <v>6345568079</v>
      </c>
      <c r="D61" s="331"/>
      <c r="E61" s="331">
        <v>5469857744</v>
      </c>
      <c r="F61" s="331"/>
      <c r="G61" s="331"/>
      <c r="H61" s="331"/>
      <c r="I61" s="331"/>
      <c r="J61" s="331">
        <v>875710335</v>
      </c>
      <c r="K61" s="331">
        <f t="shared" si="18"/>
        <v>6019032079</v>
      </c>
      <c r="L61" s="331"/>
      <c r="M61" s="331">
        <v>5297196110</v>
      </c>
      <c r="N61" s="331"/>
      <c r="O61" s="331">
        <f t="shared" si="11"/>
        <v>0</v>
      </c>
      <c r="P61" s="331"/>
      <c r="Q61" s="331"/>
      <c r="R61" s="331">
        <v>721835969</v>
      </c>
      <c r="S61" s="332">
        <f t="shared" si="16"/>
        <v>0.94854109262799702</v>
      </c>
      <c r="T61" s="332"/>
      <c r="U61" s="332">
        <f t="shared" si="17"/>
        <v>0.96843398090390997</v>
      </c>
      <c r="V61" s="332"/>
      <c r="W61" s="332"/>
      <c r="X61" s="332"/>
      <c r="Y61" s="332">
        <f t="shared" si="15"/>
        <v>0.82428622816242081</v>
      </c>
    </row>
    <row r="62" spans="1:25">
      <c r="A62" s="329" t="s">
        <v>358</v>
      </c>
      <c r="B62" s="330" t="s">
        <v>324</v>
      </c>
      <c r="C62" s="331">
        <f t="shared" si="10"/>
        <v>5952228866</v>
      </c>
      <c r="D62" s="331"/>
      <c r="E62" s="331">
        <v>5246494470</v>
      </c>
      <c r="F62" s="331"/>
      <c r="G62" s="331"/>
      <c r="H62" s="331"/>
      <c r="I62" s="331"/>
      <c r="J62" s="331">
        <v>705734396</v>
      </c>
      <c r="K62" s="331">
        <f t="shared" si="18"/>
        <v>5811014866</v>
      </c>
      <c r="L62" s="331"/>
      <c r="M62" s="331">
        <v>4949724102</v>
      </c>
      <c r="N62" s="331"/>
      <c r="O62" s="331">
        <f t="shared" si="11"/>
        <v>0</v>
      </c>
      <c r="P62" s="331"/>
      <c r="Q62" s="331"/>
      <c r="R62" s="331">
        <v>861290764</v>
      </c>
      <c r="S62" s="332">
        <f t="shared" si="16"/>
        <v>0.97627544182539161</v>
      </c>
      <c r="T62" s="332"/>
      <c r="U62" s="332">
        <f t="shared" si="17"/>
        <v>0.94343454096883861</v>
      </c>
      <c r="V62" s="332"/>
      <c r="W62" s="332"/>
      <c r="X62" s="332"/>
      <c r="Y62" s="332">
        <f t="shared" si="15"/>
        <v>1.220417722136927</v>
      </c>
    </row>
    <row r="63" spans="1:25">
      <c r="A63" s="329" t="s">
        <v>359</v>
      </c>
      <c r="B63" s="330" t="s">
        <v>325</v>
      </c>
      <c r="C63" s="331">
        <f t="shared" si="10"/>
        <v>6665485309</v>
      </c>
      <c r="D63" s="331"/>
      <c r="E63" s="331">
        <v>6617777580</v>
      </c>
      <c r="F63" s="331"/>
      <c r="G63" s="331"/>
      <c r="H63" s="331"/>
      <c r="I63" s="331"/>
      <c r="J63" s="331">
        <v>47707729</v>
      </c>
      <c r="K63" s="331">
        <f t="shared" si="18"/>
        <v>6635212309</v>
      </c>
      <c r="L63" s="331"/>
      <c r="M63" s="331">
        <v>6590453940</v>
      </c>
      <c r="N63" s="331"/>
      <c r="O63" s="331">
        <f t="shared" si="11"/>
        <v>0</v>
      </c>
      <c r="P63" s="331"/>
      <c r="Q63" s="331"/>
      <c r="R63" s="331">
        <v>44758369</v>
      </c>
      <c r="S63" s="332">
        <f t="shared" si="16"/>
        <v>0.99545824518446924</v>
      </c>
      <c r="T63" s="332"/>
      <c r="U63" s="332">
        <f t="shared" si="17"/>
        <v>0.99587117583362483</v>
      </c>
      <c r="V63" s="332"/>
      <c r="W63" s="332"/>
      <c r="X63" s="332"/>
      <c r="Y63" s="332">
        <f t="shared" si="15"/>
        <v>0.93817857060435639</v>
      </c>
    </row>
    <row r="64" spans="1:25">
      <c r="A64" s="329" t="s">
        <v>360</v>
      </c>
      <c r="B64" s="330" t="s">
        <v>326</v>
      </c>
      <c r="C64" s="331">
        <f t="shared" si="10"/>
        <v>4955135061</v>
      </c>
      <c r="D64" s="331"/>
      <c r="E64" s="331">
        <v>4257443500</v>
      </c>
      <c r="F64" s="331"/>
      <c r="G64" s="331"/>
      <c r="H64" s="331"/>
      <c r="I64" s="331"/>
      <c r="J64" s="331">
        <v>697691561</v>
      </c>
      <c r="K64" s="331">
        <f t="shared" si="18"/>
        <v>4908377725</v>
      </c>
      <c r="L64" s="331"/>
      <c r="M64" s="331">
        <v>4717926407</v>
      </c>
      <c r="N64" s="331"/>
      <c r="O64" s="331">
        <f t="shared" si="11"/>
        <v>0</v>
      </c>
      <c r="P64" s="331"/>
      <c r="Q64" s="331"/>
      <c r="R64" s="331">
        <v>190451318</v>
      </c>
      <c r="S64" s="332">
        <f t="shared" si="16"/>
        <v>0.99056386245291084</v>
      </c>
      <c r="T64" s="332"/>
      <c r="U64" s="332">
        <f t="shared" si="17"/>
        <v>1.1081594874952538</v>
      </c>
      <c r="V64" s="332"/>
      <c r="W64" s="332"/>
      <c r="X64" s="332"/>
      <c r="Y64" s="332">
        <f t="shared" si="15"/>
        <v>0.27297351529811609</v>
      </c>
    </row>
    <row r="65" spans="1:25">
      <c r="A65" s="329" t="s">
        <v>361</v>
      </c>
      <c r="B65" s="330" t="s">
        <v>327</v>
      </c>
      <c r="C65" s="331">
        <f t="shared" si="10"/>
        <v>5308894491</v>
      </c>
      <c r="D65" s="331"/>
      <c r="E65" s="331">
        <v>4644519520</v>
      </c>
      <c r="F65" s="331"/>
      <c r="G65" s="331"/>
      <c r="H65" s="331"/>
      <c r="I65" s="331"/>
      <c r="J65" s="331">
        <v>664374971</v>
      </c>
      <c r="K65" s="331">
        <f t="shared" si="18"/>
        <v>5080337155</v>
      </c>
      <c r="L65" s="331"/>
      <c r="M65" s="331">
        <v>4868769436</v>
      </c>
      <c r="N65" s="331"/>
      <c r="O65" s="331">
        <f t="shared" si="11"/>
        <v>0</v>
      </c>
      <c r="P65" s="331"/>
      <c r="Q65" s="331"/>
      <c r="R65" s="331">
        <v>211567719</v>
      </c>
      <c r="S65" s="332">
        <f t="shared" si="16"/>
        <v>0.95694822408178082</v>
      </c>
      <c r="T65" s="332"/>
      <c r="U65" s="332">
        <f t="shared" si="17"/>
        <v>1.0482826942667258</v>
      </c>
      <c r="V65" s="332"/>
      <c r="W65" s="332"/>
      <c r="X65" s="332"/>
      <c r="Y65" s="332">
        <f t="shared" si="15"/>
        <v>0.31844625134139798</v>
      </c>
    </row>
    <row r="66" spans="1:25">
      <c r="A66" s="329" t="s">
        <v>446</v>
      </c>
      <c r="B66" s="330" t="s">
        <v>328</v>
      </c>
      <c r="C66" s="331">
        <f t="shared" si="10"/>
        <v>6559188456</v>
      </c>
      <c r="D66" s="331"/>
      <c r="E66" s="331">
        <v>6091791100</v>
      </c>
      <c r="F66" s="331"/>
      <c r="G66" s="331"/>
      <c r="H66" s="331"/>
      <c r="I66" s="331"/>
      <c r="J66" s="331">
        <v>467397356</v>
      </c>
      <c r="K66" s="331">
        <f t="shared" si="18"/>
        <v>6388376456</v>
      </c>
      <c r="L66" s="331"/>
      <c r="M66" s="331">
        <v>6253845986</v>
      </c>
      <c r="N66" s="331"/>
      <c r="O66" s="331">
        <f t="shared" si="11"/>
        <v>0</v>
      </c>
      <c r="P66" s="331"/>
      <c r="Q66" s="331"/>
      <c r="R66" s="331">
        <v>134530470</v>
      </c>
      <c r="S66" s="332">
        <f t="shared" si="16"/>
        <v>0.97395836372962419</v>
      </c>
      <c r="T66" s="332"/>
      <c r="U66" s="332">
        <f t="shared" si="17"/>
        <v>1.026602173866402</v>
      </c>
      <c r="V66" s="332"/>
      <c r="W66" s="332"/>
      <c r="X66" s="332"/>
      <c r="Y66" s="332">
        <f t="shared" si="15"/>
        <v>0.28782890676001172</v>
      </c>
    </row>
    <row r="67" spans="1:25">
      <c r="A67" s="329" t="s">
        <v>362</v>
      </c>
      <c r="B67" s="330" t="s">
        <v>329</v>
      </c>
      <c r="C67" s="331">
        <f t="shared" si="10"/>
        <v>7171679212</v>
      </c>
      <c r="D67" s="331"/>
      <c r="E67" s="331">
        <v>6742659070</v>
      </c>
      <c r="F67" s="331"/>
      <c r="G67" s="331"/>
      <c r="H67" s="331"/>
      <c r="I67" s="331"/>
      <c r="J67" s="331">
        <v>429020142</v>
      </c>
      <c r="K67" s="331">
        <f t="shared" si="18"/>
        <v>6909995212</v>
      </c>
      <c r="L67" s="331"/>
      <c r="M67" s="331">
        <v>6508983207</v>
      </c>
      <c r="N67" s="331"/>
      <c r="O67" s="331">
        <f t="shared" si="11"/>
        <v>0</v>
      </c>
      <c r="P67" s="331"/>
      <c r="Q67" s="331"/>
      <c r="R67" s="331">
        <v>401012005</v>
      </c>
      <c r="S67" s="332">
        <f t="shared" si="16"/>
        <v>0.96351147447279328</v>
      </c>
      <c r="T67" s="332"/>
      <c r="U67" s="332">
        <f t="shared" si="17"/>
        <v>0.96534366329751264</v>
      </c>
      <c r="V67" s="332"/>
      <c r="W67" s="332"/>
      <c r="X67" s="332"/>
      <c r="Y67" s="332">
        <f t="shared" si="15"/>
        <v>0.93471603251672042</v>
      </c>
    </row>
    <row r="68" spans="1:25">
      <c r="A68" s="329" t="s">
        <v>363</v>
      </c>
      <c r="B68" s="330" t="s">
        <v>330</v>
      </c>
      <c r="C68" s="331">
        <f t="shared" si="10"/>
        <v>5390837256</v>
      </c>
      <c r="D68" s="331"/>
      <c r="E68" s="331">
        <v>5292379050</v>
      </c>
      <c r="F68" s="331"/>
      <c r="G68" s="331"/>
      <c r="H68" s="331"/>
      <c r="I68" s="331"/>
      <c r="J68" s="331">
        <v>98458206</v>
      </c>
      <c r="K68" s="331">
        <f t="shared" si="18"/>
        <v>5347410588</v>
      </c>
      <c r="L68" s="331"/>
      <c r="M68" s="331">
        <v>5289260352</v>
      </c>
      <c r="N68" s="331"/>
      <c r="O68" s="331">
        <f t="shared" si="11"/>
        <v>0</v>
      </c>
      <c r="P68" s="331"/>
      <c r="Q68" s="331"/>
      <c r="R68" s="331">
        <v>58150236</v>
      </c>
      <c r="S68" s="332">
        <f t="shared" si="16"/>
        <v>0.99194435559120875</v>
      </c>
      <c r="T68" s="332"/>
      <c r="U68" s="332">
        <f t="shared" si="17"/>
        <v>0.99941071907916346</v>
      </c>
      <c r="V68" s="332"/>
      <c r="W68" s="332"/>
      <c r="X68" s="332"/>
      <c r="Y68" s="332">
        <f t="shared" si="15"/>
        <v>0.59060832369828065</v>
      </c>
    </row>
    <row r="69" spans="1:25">
      <c r="A69" s="329" t="s">
        <v>447</v>
      </c>
      <c r="B69" s="330" t="s">
        <v>331</v>
      </c>
      <c r="C69" s="331">
        <f t="shared" si="10"/>
        <v>10918855552</v>
      </c>
      <c r="D69" s="331"/>
      <c r="E69" s="331">
        <v>10860425890</v>
      </c>
      <c r="F69" s="331"/>
      <c r="G69" s="331"/>
      <c r="H69" s="331"/>
      <c r="I69" s="331"/>
      <c r="J69" s="331">
        <v>58429662</v>
      </c>
      <c r="K69" s="331">
        <f t="shared" si="18"/>
        <v>10600701552</v>
      </c>
      <c r="L69" s="331"/>
      <c r="M69" s="331">
        <v>10559524759</v>
      </c>
      <c r="N69" s="331"/>
      <c r="O69" s="331">
        <f t="shared" si="11"/>
        <v>0</v>
      </c>
      <c r="P69" s="331"/>
      <c r="Q69" s="331"/>
      <c r="R69" s="331">
        <v>41176793</v>
      </c>
      <c r="S69" s="332">
        <f t="shared" si="16"/>
        <v>0.97086196456351836</v>
      </c>
      <c r="T69" s="332"/>
      <c r="U69" s="332">
        <f t="shared" si="17"/>
        <v>0.9722938000730651</v>
      </c>
      <c r="V69" s="332"/>
      <c r="W69" s="332"/>
      <c r="X69" s="332"/>
      <c r="Y69" s="332">
        <f t="shared" si="15"/>
        <v>0.70472413480673568</v>
      </c>
    </row>
    <row r="70" spans="1:25">
      <c r="A70" s="329" t="s">
        <v>364</v>
      </c>
      <c r="B70" s="330" t="s">
        <v>332</v>
      </c>
      <c r="C70" s="331">
        <f t="shared" si="10"/>
        <v>7518191937</v>
      </c>
      <c r="D70" s="331"/>
      <c r="E70" s="331">
        <v>7361439000</v>
      </c>
      <c r="F70" s="331"/>
      <c r="G70" s="331"/>
      <c r="H70" s="331"/>
      <c r="I70" s="331"/>
      <c r="J70" s="331">
        <v>156752937</v>
      </c>
      <c r="K70" s="331">
        <f t="shared" si="18"/>
        <v>7409259713</v>
      </c>
      <c r="L70" s="331"/>
      <c r="M70" s="331">
        <v>7302649288</v>
      </c>
      <c r="N70" s="331"/>
      <c r="O70" s="331">
        <f t="shared" si="11"/>
        <v>0</v>
      </c>
      <c r="P70" s="331"/>
      <c r="Q70" s="331"/>
      <c r="R70" s="331">
        <v>106610425</v>
      </c>
      <c r="S70" s="332">
        <f t="shared" si="16"/>
        <v>0.98551084823148749</v>
      </c>
      <c r="T70" s="332"/>
      <c r="U70" s="332">
        <f t="shared" si="17"/>
        <v>0.99201382881797973</v>
      </c>
      <c r="V70" s="332"/>
      <c r="W70" s="332"/>
      <c r="X70" s="332"/>
      <c r="Y70" s="332">
        <f t="shared" si="15"/>
        <v>0.68011755977497246</v>
      </c>
    </row>
    <row r="71" spans="1:25">
      <c r="A71" s="329" t="s">
        <v>365</v>
      </c>
      <c r="B71" s="330" t="s">
        <v>333</v>
      </c>
      <c r="C71" s="331">
        <f t="shared" si="10"/>
        <v>4167138326</v>
      </c>
      <c r="D71" s="331"/>
      <c r="E71" s="331">
        <v>4029476280</v>
      </c>
      <c r="F71" s="331"/>
      <c r="G71" s="331"/>
      <c r="H71" s="331"/>
      <c r="I71" s="331"/>
      <c r="J71" s="331">
        <v>137662046</v>
      </c>
      <c r="K71" s="331">
        <f t="shared" si="18"/>
        <v>4161481214</v>
      </c>
      <c r="L71" s="331"/>
      <c r="M71" s="331">
        <v>4066056284</v>
      </c>
      <c r="N71" s="331"/>
      <c r="O71" s="331">
        <f t="shared" si="11"/>
        <v>0</v>
      </c>
      <c r="P71" s="331"/>
      <c r="Q71" s="331"/>
      <c r="R71" s="331">
        <v>95424930</v>
      </c>
      <c r="S71" s="332">
        <f t="shared" si="16"/>
        <v>0.99864244679263381</v>
      </c>
      <c r="T71" s="332"/>
      <c r="U71" s="332">
        <f t="shared" si="17"/>
        <v>1.0090781038175016</v>
      </c>
      <c r="V71" s="332"/>
      <c r="W71" s="332"/>
      <c r="X71" s="332"/>
      <c r="Y71" s="332">
        <f t="shared" si="15"/>
        <v>0.69318256391453026</v>
      </c>
    </row>
    <row r="72" spans="1:25">
      <c r="A72" s="329" t="s">
        <v>366</v>
      </c>
      <c r="B72" s="330" t="s">
        <v>334</v>
      </c>
      <c r="C72" s="331">
        <f t="shared" si="10"/>
        <v>8907349944</v>
      </c>
      <c r="D72" s="331"/>
      <c r="E72" s="331">
        <v>8507570000</v>
      </c>
      <c r="F72" s="331"/>
      <c r="G72" s="331"/>
      <c r="H72" s="331"/>
      <c r="I72" s="331"/>
      <c r="J72" s="331">
        <v>399779944</v>
      </c>
      <c r="K72" s="331">
        <f t="shared" si="18"/>
        <v>8808884906</v>
      </c>
      <c r="L72" s="331"/>
      <c r="M72" s="331">
        <v>7872078217</v>
      </c>
      <c r="N72" s="331"/>
      <c r="O72" s="331">
        <f t="shared" ref="O72:O112" si="19">P72+Q72</f>
        <v>0</v>
      </c>
      <c r="P72" s="331"/>
      <c r="Q72" s="331"/>
      <c r="R72" s="331">
        <v>936806689</v>
      </c>
      <c r="S72" s="332">
        <f t="shared" si="16"/>
        <v>0.98894564167580212</v>
      </c>
      <c r="T72" s="332"/>
      <c r="U72" s="332">
        <f t="shared" si="17"/>
        <v>0.92530278528416454</v>
      </c>
      <c r="V72" s="332"/>
      <c r="W72" s="332"/>
      <c r="X72" s="332"/>
      <c r="Y72" s="332">
        <f t="shared" si="15"/>
        <v>2.3433058687906563</v>
      </c>
    </row>
    <row r="73" spans="1:25">
      <c r="A73" s="329" t="s">
        <v>367</v>
      </c>
      <c r="B73" s="330" t="s">
        <v>441</v>
      </c>
      <c r="C73" s="331">
        <f t="shared" si="10"/>
        <v>8237266257</v>
      </c>
      <c r="D73" s="331"/>
      <c r="E73" s="331">
        <v>8116720667</v>
      </c>
      <c r="F73" s="331"/>
      <c r="G73" s="331"/>
      <c r="H73" s="331"/>
      <c r="I73" s="331"/>
      <c r="J73" s="331">
        <v>120545590</v>
      </c>
      <c r="K73" s="331">
        <f t="shared" si="18"/>
        <v>7995954097</v>
      </c>
      <c r="L73" s="331"/>
      <c r="M73" s="331">
        <v>7981734547</v>
      </c>
      <c r="N73" s="331"/>
      <c r="O73" s="331">
        <f t="shared" si="19"/>
        <v>0</v>
      </c>
      <c r="P73" s="331"/>
      <c r="Q73" s="331"/>
      <c r="R73" s="331">
        <v>14219550</v>
      </c>
      <c r="S73" s="332">
        <f t="shared" si="16"/>
        <v>0.97070482457757956</v>
      </c>
      <c r="T73" s="332"/>
      <c r="U73" s="332">
        <f t="shared" si="17"/>
        <v>0.98336937717361517</v>
      </c>
      <c r="V73" s="332"/>
      <c r="W73" s="332"/>
      <c r="X73" s="332"/>
      <c r="Y73" s="332">
        <f t="shared" si="15"/>
        <v>0.11795993532405458</v>
      </c>
    </row>
    <row r="74" spans="1:25">
      <c r="A74" s="329" t="s">
        <v>368</v>
      </c>
      <c r="B74" s="330" t="s">
        <v>335</v>
      </c>
      <c r="C74" s="331">
        <f t="shared" si="10"/>
        <v>4022118953</v>
      </c>
      <c r="D74" s="331"/>
      <c r="E74" s="331">
        <v>3863796280</v>
      </c>
      <c r="F74" s="331"/>
      <c r="G74" s="331"/>
      <c r="H74" s="331"/>
      <c r="I74" s="331"/>
      <c r="J74" s="331">
        <v>158322673</v>
      </c>
      <c r="K74" s="331">
        <f t="shared" si="18"/>
        <v>3895929953</v>
      </c>
      <c r="L74" s="331"/>
      <c r="M74" s="331">
        <v>3797363802</v>
      </c>
      <c r="N74" s="331"/>
      <c r="O74" s="331">
        <f t="shared" si="19"/>
        <v>0</v>
      </c>
      <c r="P74" s="331"/>
      <c r="Q74" s="331"/>
      <c r="R74" s="331">
        <v>98566151</v>
      </c>
      <c r="S74" s="332">
        <f t="shared" si="16"/>
        <v>0.96862623868797348</v>
      </c>
      <c r="T74" s="332"/>
      <c r="U74" s="332">
        <f t="shared" si="17"/>
        <v>0.98280642322063627</v>
      </c>
      <c r="V74" s="332"/>
      <c r="W74" s="332"/>
      <c r="X74" s="332"/>
      <c r="Y74" s="332">
        <f t="shared" si="15"/>
        <v>0.62256497526415566</v>
      </c>
    </row>
    <row r="75" spans="1:25">
      <c r="A75" s="329" t="s">
        <v>369</v>
      </c>
      <c r="B75" s="330" t="s">
        <v>461</v>
      </c>
      <c r="C75" s="331">
        <f t="shared" si="10"/>
        <v>5324114747</v>
      </c>
      <c r="D75" s="331"/>
      <c r="E75" s="331">
        <v>5141287283</v>
      </c>
      <c r="F75" s="331"/>
      <c r="G75" s="331"/>
      <c r="H75" s="331"/>
      <c r="I75" s="331"/>
      <c r="J75" s="331">
        <v>182827464</v>
      </c>
      <c r="K75" s="331">
        <f t="shared" si="18"/>
        <v>5264556147</v>
      </c>
      <c r="L75" s="331"/>
      <c r="M75" s="331">
        <v>5078508621</v>
      </c>
      <c r="N75" s="331"/>
      <c r="O75" s="331">
        <f t="shared" si="19"/>
        <v>0</v>
      </c>
      <c r="P75" s="331"/>
      <c r="Q75" s="331"/>
      <c r="R75" s="331">
        <v>186047526</v>
      </c>
      <c r="S75" s="332">
        <f t="shared" si="16"/>
        <v>0.98881342667650807</v>
      </c>
      <c r="T75" s="332"/>
      <c r="U75" s="332">
        <f t="shared" si="17"/>
        <v>0.98778931062506825</v>
      </c>
      <c r="V75" s="332"/>
      <c r="W75" s="332"/>
      <c r="X75" s="332"/>
      <c r="Y75" s="332">
        <f t="shared" si="15"/>
        <v>1.0176125726931267</v>
      </c>
    </row>
    <row r="76" spans="1:25">
      <c r="A76" s="329" t="s">
        <v>370</v>
      </c>
      <c r="B76" s="330" t="s">
        <v>336</v>
      </c>
      <c r="C76" s="331">
        <f t="shared" si="10"/>
        <v>5690384000</v>
      </c>
      <c r="D76" s="331"/>
      <c r="E76" s="331">
        <v>5690384000</v>
      </c>
      <c r="F76" s="331"/>
      <c r="G76" s="331"/>
      <c r="H76" s="331"/>
      <c r="I76" s="331"/>
      <c r="J76" s="331"/>
      <c r="K76" s="331">
        <f t="shared" si="18"/>
        <v>5511176844</v>
      </c>
      <c r="L76" s="331"/>
      <c r="M76" s="331">
        <v>5455054526</v>
      </c>
      <c r="N76" s="331"/>
      <c r="O76" s="331">
        <f t="shared" si="19"/>
        <v>0</v>
      </c>
      <c r="P76" s="331"/>
      <c r="Q76" s="331"/>
      <c r="R76" s="331">
        <v>56122318</v>
      </c>
      <c r="S76" s="332">
        <f t="shared" ref="S76:T109" si="20">K76/C76</f>
        <v>0.96850701885848123</v>
      </c>
      <c r="T76" s="332"/>
      <c r="U76" s="332">
        <f t="shared" ref="U76:U108" si="21">M76/E76</f>
        <v>0.95864435967765971</v>
      </c>
      <c r="V76" s="332"/>
      <c r="W76" s="332"/>
      <c r="X76" s="332"/>
      <c r="Y76" s="332"/>
    </row>
    <row r="77" spans="1:25">
      <c r="A77" s="329" t="s">
        <v>371</v>
      </c>
      <c r="B77" s="330" t="s">
        <v>442</v>
      </c>
      <c r="C77" s="331">
        <f t="shared" ref="C77:C113" si="22">D77+E77+F77+G77+J77</f>
        <v>5438475323</v>
      </c>
      <c r="D77" s="331"/>
      <c r="E77" s="331">
        <v>5386324800</v>
      </c>
      <c r="F77" s="331"/>
      <c r="G77" s="331"/>
      <c r="H77" s="331"/>
      <c r="I77" s="331"/>
      <c r="J77" s="331">
        <v>52150523</v>
      </c>
      <c r="K77" s="331">
        <f t="shared" si="18"/>
        <v>5181833323</v>
      </c>
      <c r="L77" s="331"/>
      <c r="M77" s="331">
        <v>5129292191</v>
      </c>
      <c r="N77" s="331"/>
      <c r="O77" s="331">
        <f t="shared" si="19"/>
        <v>0</v>
      </c>
      <c r="P77" s="331"/>
      <c r="Q77" s="331"/>
      <c r="R77" s="331">
        <v>52541132</v>
      </c>
      <c r="S77" s="332">
        <f t="shared" si="20"/>
        <v>0.95280993573426209</v>
      </c>
      <c r="T77" s="332"/>
      <c r="U77" s="332">
        <f t="shared" si="21"/>
        <v>0.95228052177618405</v>
      </c>
      <c r="V77" s="332"/>
      <c r="W77" s="332"/>
      <c r="X77" s="332"/>
      <c r="Y77" s="332">
        <f t="shared" si="15"/>
        <v>1.0074900303492642</v>
      </c>
    </row>
    <row r="78" spans="1:25">
      <c r="A78" s="329" t="s">
        <v>372</v>
      </c>
      <c r="B78" s="330" t="s">
        <v>337</v>
      </c>
      <c r="C78" s="331">
        <f t="shared" si="22"/>
        <v>4353434894</v>
      </c>
      <c r="D78" s="331"/>
      <c r="E78" s="331">
        <v>4326034800</v>
      </c>
      <c r="F78" s="331"/>
      <c r="G78" s="331"/>
      <c r="H78" s="331"/>
      <c r="I78" s="331"/>
      <c r="J78" s="331">
        <v>27400094</v>
      </c>
      <c r="K78" s="331">
        <f t="shared" si="18"/>
        <v>4164236294</v>
      </c>
      <c r="L78" s="331"/>
      <c r="M78" s="331">
        <v>4154806911</v>
      </c>
      <c r="N78" s="331"/>
      <c r="O78" s="331">
        <f t="shared" si="19"/>
        <v>0</v>
      </c>
      <c r="P78" s="331"/>
      <c r="Q78" s="331"/>
      <c r="R78" s="331">
        <v>9429383</v>
      </c>
      <c r="S78" s="332">
        <f t="shared" si="20"/>
        <v>0.95654038601547531</v>
      </c>
      <c r="T78" s="332"/>
      <c r="U78" s="332">
        <f t="shared" si="21"/>
        <v>0.96041920675256709</v>
      </c>
      <c r="V78" s="332"/>
      <c r="W78" s="332"/>
      <c r="X78" s="332"/>
      <c r="Y78" s="332">
        <f t="shared" si="15"/>
        <v>0.34413688507783952</v>
      </c>
    </row>
    <row r="79" spans="1:25">
      <c r="A79" s="329" t="s">
        <v>373</v>
      </c>
      <c r="B79" s="330" t="s">
        <v>338</v>
      </c>
      <c r="C79" s="331">
        <f t="shared" si="22"/>
        <v>4180778573</v>
      </c>
      <c r="D79" s="331"/>
      <c r="E79" s="331">
        <v>3826780500</v>
      </c>
      <c r="F79" s="331"/>
      <c r="G79" s="331"/>
      <c r="H79" s="331"/>
      <c r="I79" s="331"/>
      <c r="J79" s="331">
        <v>353998073</v>
      </c>
      <c r="K79" s="331">
        <f t="shared" si="18"/>
        <v>3979039914</v>
      </c>
      <c r="L79" s="331"/>
      <c r="M79" s="331">
        <v>3725626615</v>
      </c>
      <c r="N79" s="331"/>
      <c r="O79" s="331">
        <f t="shared" si="19"/>
        <v>0</v>
      </c>
      <c r="P79" s="331"/>
      <c r="Q79" s="331"/>
      <c r="R79" s="331">
        <v>253413299</v>
      </c>
      <c r="S79" s="332">
        <f t="shared" si="20"/>
        <v>0.95174615075219393</v>
      </c>
      <c r="T79" s="332"/>
      <c r="U79" s="332">
        <f t="shared" si="21"/>
        <v>0.97356684424413686</v>
      </c>
      <c r="V79" s="332"/>
      <c r="W79" s="332"/>
      <c r="X79" s="332"/>
      <c r="Y79" s="332">
        <f t="shared" si="15"/>
        <v>0.71586067362575723</v>
      </c>
    </row>
    <row r="80" spans="1:25">
      <c r="A80" s="329" t="s">
        <v>374</v>
      </c>
      <c r="B80" s="330" t="s">
        <v>339</v>
      </c>
      <c r="C80" s="331">
        <f t="shared" si="22"/>
        <v>5908511550</v>
      </c>
      <c r="D80" s="331"/>
      <c r="E80" s="331">
        <v>5866824040</v>
      </c>
      <c r="F80" s="331"/>
      <c r="G80" s="331"/>
      <c r="H80" s="331"/>
      <c r="I80" s="331"/>
      <c r="J80" s="331">
        <v>41687510</v>
      </c>
      <c r="K80" s="331">
        <f t="shared" si="18"/>
        <v>5698762785</v>
      </c>
      <c r="L80" s="331"/>
      <c r="M80" s="331">
        <v>5428039015</v>
      </c>
      <c r="N80" s="331"/>
      <c r="O80" s="331">
        <f t="shared" si="19"/>
        <v>0</v>
      </c>
      <c r="P80" s="331"/>
      <c r="Q80" s="331"/>
      <c r="R80" s="331">
        <v>270723770</v>
      </c>
      <c r="S80" s="332">
        <f t="shared" si="20"/>
        <v>0.96450057459902905</v>
      </c>
      <c r="T80" s="332"/>
      <c r="U80" s="332">
        <f t="shared" si="21"/>
        <v>0.92520910427714143</v>
      </c>
      <c r="V80" s="332"/>
      <c r="W80" s="332"/>
      <c r="X80" s="332"/>
      <c r="Y80" s="332">
        <f t="shared" si="15"/>
        <v>6.4941218604805133</v>
      </c>
    </row>
    <row r="81" spans="1:25">
      <c r="A81" s="329" t="s">
        <v>375</v>
      </c>
      <c r="B81" s="330" t="s">
        <v>340</v>
      </c>
      <c r="C81" s="331">
        <f t="shared" si="22"/>
        <v>4120115602</v>
      </c>
      <c r="D81" s="331"/>
      <c r="E81" s="331">
        <v>4069939000</v>
      </c>
      <c r="F81" s="331"/>
      <c r="G81" s="331"/>
      <c r="H81" s="331"/>
      <c r="I81" s="331"/>
      <c r="J81" s="331">
        <v>50176602</v>
      </c>
      <c r="K81" s="331">
        <f t="shared" si="18"/>
        <v>3843548802</v>
      </c>
      <c r="L81" s="331"/>
      <c r="M81" s="331">
        <v>3751265986</v>
      </c>
      <c r="N81" s="331"/>
      <c r="O81" s="331">
        <f t="shared" si="19"/>
        <v>0</v>
      </c>
      <c r="P81" s="331"/>
      <c r="Q81" s="331"/>
      <c r="R81" s="331">
        <v>92282816</v>
      </c>
      <c r="S81" s="332">
        <f t="shared" si="20"/>
        <v>0.93287401939262382</v>
      </c>
      <c r="T81" s="332"/>
      <c r="U81" s="332">
        <f t="shared" si="21"/>
        <v>0.92170078863589844</v>
      </c>
      <c r="V81" s="332"/>
      <c r="W81" s="332"/>
      <c r="X81" s="332"/>
      <c r="Y81" s="332">
        <f t="shared" si="15"/>
        <v>1.8391603321404666</v>
      </c>
    </row>
    <row r="82" spans="1:25">
      <c r="A82" s="329" t="s">
        <v>376</v>
      </c>
      <c r="B82" s="330" t="s">
        <v>443</v>
      </c>
      <c r="C82" s="331">
        <f t="shared" si="22"/>
        <v>5777657330</v>
      </c>
      <c r="D82" s="331"/>
      <c r="E82" s="331">
        <v>5232035060</v>
      </c>
      <c r="F82" s="331"/>
      <c r="G82" s="331"/>
      <c r="H82" s="331"/>
      <c r="I82" s="331"/>
      <c r="J82" s="331">
        <v>545622270</v>
      </c>
      <c r="K82" s="331">
        <f t="shared" si="18"/>
        <v>5554893930</v>
      </c>
      <c r="L82" s="331"/>
      <c r="M82" s="331">
        <v>5138168788</v>
      </c>
      <c r="N82" s="331"/>
      <c r="O82" s="331">
        <f t="shared" si="19"/>
        <v>0</v>
      </c>
      <c r="P82" s="331"/>
      <c r="Q82" s="331"/>
      <c r="R82" s="331">
        <v>416725142</v>
      </c>
      <c r="S82" s="332">
        <f t="shared" si="20"/>
        <v>0.96144399238713596</v>
      </c>
      <c r="T82" s="332"/>
      <c r="U82" s="332">
        <f t="shared" si="21"/>
        <v>0.98205931899852372</v>
      </c>
      <c r="V82" s="332"/>
      <c r="W82" s="332"/>
      <c r="X82" s="332"/>
      <c r="Y82" s="332">
        <f t="shared" si="15"/>
        <v>0.76376124090389497</v>
      </c>
    </row>
    <row r="83" spans="1:25">
      <c r="A83" s="329" t="s">
        <v>377</v>
      </c>
      <c r="B83" s="330" t="s">
        <v>341</v>
      </c>
      <c r="C83" s="331">
        <f t="shared" si="22"/>
        <v>9264245959</v>
      </c>
      <c r="D83" s="331"/>
      <c r="E83" s="331">
        <v>9019212100</v>
      </c>
      <c r="F83" s="331"/>
      <c r="G83" s="331"/>
      <c r="H83" s="331"/>
      <c r="I83" s="331"/>
      <c r="J83" s="331">
        <v>245033859</v>
      </c>
      <c r="K83" s="331">
        <f t="shared" si="18"/>
        <v>8892686303</v>
      </c>
      <c r="L83" s="331"/>
      <c r="M83" s="331">
        <v>8703697746</v>
      </c>
      <c r="N83" s="331"/>
      <c r="O83" s="331">
        <f t="shared" si="19"/>
        <v>0</v>
      </c>
      <c r="P83" s="331"/>
      <c r="Q83" s="331"/>
      <c r="R83" s="331">
        <v>188988557</v>
      </c>
      <c r="S83" s="332">
        <f t="shared" si="20"/>
        <v>0.95989315723650037</v>
      </c>
      <c r="T83" s="332"/>
      <c r="U83" s="332">
        <f t="shared" si="21"/>
        <v>0.96501752586570178</v>
      </c>
      <c r="V83" s="332"/>
      <c r="W83" s="332"/>
      <c r="X83" s="332"/>
      <c r="Y83" s="332">
        <f t="shared" si="15"/>
        <v>0.77127527506310878</v>
      </c>
    </row>
    <row r="84" spans="1:25">
      <c r="A84" s="329" t="s">
        <v>378</v>
      </c>
      <c r="B84" s="330" t="s">
        <v>440</v>
      </c>
      <c r="C84" s="331">
        <f t="shared" si="22"/>
        <v>5874607837</v>
      </c>
      <c r="D84" s="331"/>
      <c r="E84" s="331">
        <v>5861571570</v>
      </c>
      <c r="F84" s="331"/>
      <c r="G84" s="331"/>
      <c r="H84" s="331"/>
      <c r="I84" s="331"/>
      <c r="J84" s="331">
        <v>13036267</v>
      </c>
      <c r="K84" s="331">
        <f t="shared" si="18"/>
        <v>5850023037</v>
      </c>
      <c r="L84" s="331"/>
      <c r="M84" s="331">
        <v>5753931907</v>
      </c>
      <c r="N84" s="331"/>
      <c r="O84" s="331">
        <f t="shared" si="19"/>
        <v>0</v>
      </c>
      <c r="P84" s="331"/>
      <c r="Q84" s="331"/>
      <c r="R84" s="331">
        <v>96091130</v>
      </c>
      <c r="S84" s="332">
        <f t="shared" si="20"/>
        <v>0.99581507384286017</v>
      </c>
      <c r="T84" s="332"/>
      <c r="U84" s="332">
        <f t="shared" si="21"/>
        <v>0.98163638169140366</v>
      </c>
      <c r="V84" s="332"/>
      <c r="W84" s="332"/>
      <c r="X84" s="332"/>
      <c r="Y84" s="332">
        <f t="shared" ref="Y84:Y108" si="23">R84/J84</f>
        <v>7.3710618231430827</v>
      </c>
    </row>
    <row r="85" spans="1:25">
      <c r="A85" s="329" t="s">
        <v>379</v>
      </c>
      <c r="B85" s="330" t="s">
        <v>342</v>
      </c>
      <c r="C85" s="331">
        <f t="shared" si="22"/>
        <v>27000000</v>
      </c>
      <c r="D85" s="331"/>
      <c r="E85" s="331">
        <v>27000000</v>
      </c>
      <c r="F85" s="331"/>
      <c r="G85" s="331"/>
      <c r="H85" s="331"/>
      <c r="I85" s="331"/>
      <c r="J85" s="331"/>
      <c r="K85" s="331">
        <f t="shared" si="18"/>
        <v>27000000</v>
      </c>
      <c r="L85" s="331"/>
      <c r="M85" s="331">
        <v>27000000</v>
      </c>
      <c r="N85" s="331"/>
      <c r="O85" s="331">
        <f t="shared" si="19"/>
        <v>0</v>
      </c>
      <c r="P85" s="331"/>
      <c r="Q85" s="331"/>
      <c r="R85" s="331"/>
      <c r="S85" s="332">
        <f t="shared" si="20"/>
        <v>1</v>
      </c>
      <c r="T85" s="332"/>
      <c r="U85" s="332">
        <f t="shared" si="21"/>
        <v>1</v>
      </c>
      <c r="V85" s="332"/>
      <c r="W85" s="332"/>
      <c r="X85" s="332"/>
      <c r="Y85" s="332"/>
    </row>
    <row r="86" spans="1:25">
      <c r="A86" s="329" t="s">
        <v>380</v>
      </c>
      <c r="B86" s="330" t="s">
        <v>462</v>
      </c>
      <c r="C86" s="331">
        <f t="shared" si="22"/>
        <v>27000000</v>
      </c>
      <c r="D86" s="331"/>
      <c r="E86" s="331">
        <v>27000000</v>
      </c>
      <c r="F86" s="331"/>
      <c r="G86" s="331"/>
      <c r="H86" s="331"/>
      <c r="I86" s="331"/>
      <c r="J86" s="331"/>
      <c r="K86" s="331">
        <f t="shared" si="18"/>
        <v>27000000</v>
      </c>
      <c r="L86" s="331"/>
      <c r="M86" s="331">
        <v>27000000</v>
      </c>
      <c r="N86" s="331"/>
      <c r="O86" s="331">
        <f t="shared" si="19"/>
        <v>0</v>
      </c>
      <c r="P86" s="331"/>
      <c r="Q86" s="331"/>
      <c r="R86" s="331"/>
      <c r="S86" s="332">
        <f t="shared" si="20"/>
        <v>1</v>
      </c>
      <c r="T86" s="332"/>
      <c r="U86" s="332">
        <f t="shared" si="21"/>
        <v>1</v>
      </c>
      <c r="V86" s="332"/>
      <c r="W86" s="332"/>
      <c r="X86" s="332"/>
      <c r="Y86" s="332"/>
    </row>
    <row r="87" spans="1:25">
      <c r="A87" s="329" t="s">
        <v>381</v>
      </c>
      <c r="B87" s="330" t="s">
        <v>343</v>
      </c>
      <c r="C87" s="331">
        <f t="shared" si="22"/>
        <v>27000000</v>
      </c>
      <c r="D87" s="331"/>
      <c r="E87" s="331">
        <v>27000000</v>
      </c>
      <c r="F87" s="331"/>
      <c r="G87" s="331"/>
      <c r="H87" s="331"/>
      <c r="I87" s="331"/>
      <c r="J87" s="331"/>
      <c r="K87" s="331">
        <f t="shared" si="18"/>
        <v>26998934</v>
      </c>
      <c r="L87" s="331"/>
      <c r="M87" s="331">
        <v>26998934</v>
      </c>
      <c r="N87" s="331"/>
      <c r="O87" s="331">
        <f t="shared" si="19"/>
        <v>0</v>
      </c>
      <c r="P87" s="331"/>
      <c r="Q87" s="331"/>
      <c r="R87" s="331"/>
      <c r="S87" s="332">
        <f t="shared" si="20"/>
        <v>0.99996051851851853</v>
      </c>
      <c r="T87" s="332"/>
      <c r="U87" s="332">
        <f t="shared" si="21"/>
        <v>0.99996051851851853</v>
      </c>
      <c r="V87" s="332"/>
      <c r="W87" s="332"/>
      <c r="X87" s="332"/>
      <c r="Y87" s="332"/>
    </row>
    <row r="88" spans="1:25">
      <c r="A88" s="329" t="s">
        <v>382</v>
      </c>
      <c r="B88" s="330" t="s">
        <v>344</v>
      </c>
      <c r="C88" s="331">
        <f t="shared" si="22"/>
        <v>27000000</v>
      </c>
      <c r="D88" s="331"/>
      <c r="E88" s="331">
        <v>27000000</v>
      </c>
      <c r="F88" s="331"/>
      <c r="G88" s="331"/>
      <c r="H88" s="331"/>
      <c r="I88" s="331"/>
      <c r="J88" s="331"/>
      <c r="K88" s="331">
        <f t="shared" si="18"/>
        <v>26033280</v>
      </c>
      <c r="L88" s="331"/>
      <c r="M88" s="331">
        <v>26033280</v>
      </c>
      <c r="N88" s="331"/>
      <c r="O88" s="331">
        <f t="shared" si="19"/>
        <v>0</v>
      </c>
      <c r="P88" s="331"/>
      <c r="Q88" s="331"/>
      <c r="R88" s="331"/>
      <c r="S88" s="332">
        <f t="shared" si="20"/>
        <v>0.96419555555555558</v>
      </c>
      <c r="T88" s="332"/>
      <c r="U88" s="332">
        <f t="shared" si="21"/>
        <v>0.96419555555555558</v>
      </c>
      <c r="V88" s="332"/>
      <c r="W88" s="332"/>
      <c r="X88" s="332"/>
      <c r="Y88" s="332"/>
    </row>
    <row r="89" spans="1:25">
      <c r="A89" s="329" t="s">
        <v>383</v>
      </c>
      <c r="B89" s="330" t="s">
        <v>345</v>
      </c>
      <c r="C89" s="331">
        <f t="shared" si="22"/>
        <v>27000000</v>
      </c>
      <c r="D89" s="331"/>
      <c r="E89" s="331">
        <v>27000000</v>
      </c>
      <c r="F89" s="331"/>
      <c r="G89" s="331"/>
      <c r="H89" s="331"/>
      <c r="I89" s="331"/>
      <c r="J89" s="331"/>
      <c r="K89" s="331">
        <f t="shared" si="18"/>
        <v>27000000</v>
      </c>
      <c r="L89" s="331"/>
      <c r="M89" s="331">
        <v>27000000</v>
      </c>
      <c r="N89" s="331"/>
      <c r="O89" s="331">
        <f t="shared" si="19"/>
        <v>0</v>
      </c>
      <c r="P89" s="331"/>
      <c r="Q89" s="331"/>
      <c r="R89" s="331"/>
      <c r="S89" s="332">
        <f t="shared" si="20"/>
        <v>1</v>
      </c>
      <c r="T89" s="332"/>
      <c r="U89" s="332">
        <f t="shared" si="21"/>
        <v>1</v>
      </c>
      <c r="V89" s="332"/>
      <c r="W89" s="332"/>
      <c r="X89" s="332"/>
      <c r="Y89" s="332"/>
    </row>
    <row r="90" spans="1:25">
      <c r="A90" s="329" t="s">
        <v>384</v>
      </c>
      <c r="B90" s="330" t="s">
        <v>346</v>
      </c>
      <c r="C90" s="331">
        <f t="shared" si="22"/>
        <v>27000000</v>
      </c>
      <c r="D90" s="331"/>
      <c r="E90" s="331">
        <v>27000000</v>
      </c>
      <c r="F90" s="331"/>
      <c r="G90" s="331"/>
      <c r="H90" s="331"/>
      <c r="I90" s="331"/>
      <c r="J90" s="331"/>
      <c r="K90" s="331">
        <f t="shared" si="18"/>
        <v>27000000</v>
      </c>
      <c r="L90" s="331"/>
      <c r="M90" s="331">
        <v>27000000</v>
      </c>
      <c r="N90" s="331"/>
      <c r="O90" s="331">
        <f t="shared" si="19"/>
        <v>0</v>
      </c>
      <c r="P90" s="331"/>
      <c r="Q90" s="331"/>
      <c r="R90" s="331"/>
      <c r="S90" s="332">
        <f t="shared" si="20"/>
        <v>1</v>
      </c>
      <c r="T90" s="332"/>
      <c r="U90" s="332">
        <f t="shared" si="21"/>
        <v>1</v>
      </c>
      <c r="V90" s="332"/>
      <c r="W90" s="332"/>
      <c r="X90" s="332"/>
      <c r="Y90" s="332"/>
    </row>
    <row r="91" spans="1:25">
      <c r="A91" s="329" t="s">
        <v>385</v>
      </c>
      <c r="B91" s="330" t="s">
        <v>347</v>
      </c>
      <c r="C91" s="331">
        <f t="shared" si="22"/>
        <v>27000000</v>
      </c>
      <c r="D91" s="331"/>
      <c r="E91" s="331">
        <v>27000000</v>
      </c>
      <c r="F91" s="331"/>
      <c r="G91" s="331"/>
      <c r="H91" s="331"/>
      <c r="I91" s="331"/>
      <c r="J91" s="331"/>
      <c r="K91" s="331">
        <f t="shared" si="18"/>
        <v>27000000</v>
      </c>
      <c r="L91" s="331"/>
      <c r="M91" s="331">
        <v>27000000</v>
      </c>
      <c r="N91" s="331"/>
      <c r="O91" s="331">
        <f t="shared" si="19"/>
        <v>0</v>
      </c>
      <c r="P91" s="331"/>
      <c r="Q91" s="331"/>
      <c r="R91" s="331"/>
      <c r="S91" s="332">
        <f t="shared" si="20"/>
        <v>1</v>
      </c>
      <c r="T91" s="332"/>
      <c r="U91" s="332">
        <f t="shared" si="21"/>
        <v>1</v>
      </c>
      <c r="V91" s="332"/>
      <c r="W91" s="332"/>
      <c r="X91" s="332"/>
      <c r="Y91" s="332"/>
    </row>
    <row r="92" spans="1:25">
      <c r="A92" s="329" t="s">
        <v>386</v>
      </c>
      <c r="B92" s="330" t="s">
        <v>348</v>
      </c>
      <c r="C92" s="331">
        <f t="shared" si="22"/>
        <v>27000000</v>
      </c>
      <c r="D92" s="331"/>
      <c r="E92" s="331">
        <v>27000000</v>
      </c>
      <c r="F92" s="331"/>
      <c r="G92" s="331"/>
      <c r="H92" s="331"/>
      <c r="I92" s="331"/>
      <c r="J92" s="331"/>
      <c r="K92" s="331">
        <f t="shared" si="18"/>
        <v>27000000</v>
      </c>
      <c r="L92" s="331"/>
      <c r="M92" s="331">
        <v>27000000</v>
      </c>
      <c r="N92" s="331"/>
      <c r="O92" s="331">
        <f t="shared" si="19"/>
        <v>0</v>
      </c>
      <c r="P92" s="331"/>
      <c r="Q92" s="331"/>
      <c r="R92" s="331"/>
      <c r="S92" s="332">
        <f t="shared" si="20"/>
        <v>1</v>
      </c>
      <c r="T92" s="332"/>
      <c r="U92" s="332">
        <f t="shared" si="21"/>
        <v>1</v>
      </c>
      <c r="V92" s="332"/>
      <c r="W92" s="332"/>
      <c r="X92" s="332"/>
      <c r="Y92" s="332"/>
    </row>
    <row r="93" spans="1:25">
      <c r="A93" s="329" t="s">
        <v>387</v>
      </c>
      <c r="B93" s="330" t="s">
        <v>349</v>
      </c>
      <c r="C93" s="331">
        <f t="shared" si="22"/>
        <v>27000000</v>
      </c>
      <c r="D93" s="331"/>
      <c r="E93" s="331">
        <v>27000000</v>
      </c>
      <c r="F93" s="331"/>
      <c r="G93" s="331"/>
      <c r="H93" s="331"/>
      <c r="I93" s="331"/>
      <c r="J93" s="331"/>
      <c r="K93" s="331">
        <f t="shared" si="18"/>
        <v>27000000</v>
      </c>
      <c r="L93" s="331"/>
      <c r="M93" s="331">
        <v>27000000</v>
      </c>
      <c r="N93" s="331"/>
      <c r="O93" s="331">
        <f t="shared" si="19"/>
        <v>0</v>
      </c>
      <c r="P93" s="331"/>
      <c r="Q93" s="331"/>
      <c r="R93" s="331"/>
      <c r="S93" s="332">
        <f t="shared" si="20"/>
        <v>1</v>
      </c>
      <c r="T93" s="332"/>
      <c r="U93" s="332">
        <f t="shared" si="21"/>
        <v>1</v>
      </c>
      <c r="V93" s="332"/>
      <c r="W93" s="332"/>
      <c r="X93" s="332"/>
      <c r="Y93" s="332"/>
    </row>
    <row r="94" spans="1:25">
      <c r="A94" s="329" t="s">
        <v>388</v>
      </c>
      <c r="B94" s="330" t="s">
        <v>350</v>
      </c>
      <c r="C94" s="331">
        <f t="shared" si="22"/>
        <v>27000000</v>
      </c>
      <c r="D94" s="331"/>
      <c r="E94" s="331">
        <v>27000000</v>
      </c>
      <c r="F94" s="331"/>
      <c r="G94" s="331"/>
      <c r="H94" s="331"/>
      <c r="I94" s="331"/>
      <c r="J94" s="331"/>
      <c r="K94" s="331">
        <f t="shared" si="18"/>
        <v>27000000</v>
      </c>
      <c r="L94" s="331"/>
      <c r="M94" s="331">
        <v>27000000</v>
      </c>
      <c r="N94" s="331"/>
      <c r="O94" s="331">
        <f t="shared" si="19"/>
        <v>0</v>
      </c>
      <c r="P94" s="331"/>
      <c r="Q94" s="331"/>
      <c r="R94" s="331"/>
      <c r="S94" s="332">
        <f t="shared" si="20"/>
        <v>1</v>
      </c>
      <c r="T94" s="332"/>
      <c r="U94" s="332">
        <f t="shared" si="21"/>
        <v>1</v>
      </c>
      <c r="V94" s="332"/>
      <c r="W94" s="332"/>
      <c r="X94" s="332"/>
      <c r="Y94" s="332"/>
    </row>
    <row r="95" spans="1:25">
      <c r="A95" s="329" t="s">
        <v>389</v>
      </c>
      <c r="B95" s="330" t="s">
        <v>351</v>
      </c>
      <c r="C95" s="331">
        <f t="shared" si="22"/>
        <v>27000000</v>
      </c>
      <c r="D95" s="331"/>
      <c r="E95" s="331">
        <v>27000000</v>
      </c>
      <c r="F95" s="331"/>
      <c r="G95" s="331"/>
      <c r="H95" s="331"/>
      <c r="I95" s="331"/>
      <c r="J95" s="331"/>
      <c r="K95" s="331">
        <f t="shared" si="18"/>
        <v>26943250</v>
      </c>
      <c r="L95" s="331"/>
      <c r="M95" s="331">
        <v>26943250</v>
      </c>
      <c r="N95" s="331"/>
      <c r="O95" s="331">
        <f t="shared" si="19"/>
        <v>0</v>
      </c>
      <c r="P95" s="331"/>
      <c r="Q95" s="331"/>
      <c r="R95" s="331"/>
      <c r="S95" s="332">
        <f t="shared" si="20"/>
        <v>0.99789814814814815</v>
      </c>
      <c r="T95" s="332"/>
      <c r="U95" s="332">
        <f t="shared" si="21"/>
        <v>0.99789814814814815</v>
      </c>
      <c r="V95" s="332"/>
      <c r="W95" s="332"/>
      <c r="X95" s="332"/>
      <c r="Y95" s="332"/>
    </row>
    <row r="96" spans="1:25">
      <c r="A96" s="329" t="s">
        <v>390</v>
      </c>
      <c r="B96" s="330" t="s">
        <v>352</v>
      </c>
      <c r="C96" s="331">
        <f t="shared" si="22"/>
        <v>27000000</v>
      </c>
      <c r="D96" s="331"/>
      <c r="E96" s="331">
        <v>27000000</v>
      </c>
      <c r="F96" s="331"/>
      <c r="G96" s="331"/>
      <c r="H96" s="331"/>
      <c r="I96" s="331"/>
      <c r="J96" s="331"/>
      <c r="K96" s="331">
        <f t="shared" si="18"/>
        <v>26373000</v>
      </c>
      <c r="L96" s="331"/>
      <c r="M96" s="331">
        <v>26373000</v>
      </c>
      <c r="N96" s="331"/>
      <c r="O96" s="331">
        <f t="shared" si="19"/>
        <v>0</v>
      </c>
      <c r="P96" s="331"/>
      <c r="Q96" s="331"/>
      <c r="R96" s="331"/>
      <c r="S96" s="332">
        <f t="shared" si="20"/>
        <v>0.97677777777777774</v>
      </c>
      <c r="T96" s="332"/>
      <c r="U96" s="332">
        <f t="shared" si="21"/>
        <v>0.97677777777777774</v>
      </c>
      <c r="V96" s="332"/>
      <c r="W96" s="332"/>
      <c r="X96" s="332"/>
      <c r="Y96" s="332"/>
    </row>
    <row r="97" spans="1:25">
      <c r="A97" s="329" t="s">
        <v>391</v>
      </c>
      <c r="B97" s="330" t="s">
        <v>398</v>
      </c>
      <c r="C97" s="331">
        <f t="shared" si="22"/>
        <v>175243000</v>
      </c>
      <c r="D97" s="331"/>
      <c r="E97" s="331">
        <v>175243000</v>
      </c>
      <c r="F97" s="331"/>
      <c r="G97" s="331"/>
      <c r="H97" s="331"/>
      <c r="I97" s="331"/>
      <c r="J97" s="331"/>
      <c r="K97" s="331">
        <f t="shared" si="18"/>
        <v>175243000</v>
      </c>
      <c r="L97" s="331"/>
      <c r="M97" s="331">
        <v>175243000</v>
      </c>
      <c r="N97" s="331"/>
      <c r="O97" s="331">
        <f t="shared" si="19"/>
        <v>0</v>
      </c>
      <c r="P97" s="331"/>
      <c r="Q97" s="331"/>
      <c r="R97" s="331"/>
      <c r="S97" s="332">
        <f t="shared" si="20"/>
        <v>1</v>
      </c>
      <c r="T97" s="332"/>
      <c r="U97" s="332">
        <f t="shared" si="21"/>
        <v>1</v>
      </c>
      <c r="V97" s="332"/>
      <c r="W97" s="332"/>
      <c r="X97" s="332"/>
      <c r="Y97" s="332"/>
    </row>
    <row r="98" spans="1:25">
      <c r="A98" s="329" t="s">
        <v>392</v>
      </c>
      <c r="B98" s="330" t="s">
        <v>416</v>
      </c>
      <c r="C98" s="331">
        <f t="shared" si="22"/>
        <v>91107000</v>
      </c>
      <c r="D98" s="331"/>
      <c r="E98" s="331">
        <v>83879000</v>
      </c>
      <c r="F98" s="331"/>
      <c r="G98" s="331"/>
      <c r="H98" s="331"/>
      <c r="I98" s="331"/>
      <c r="J98" s="331">
        <v>7228000</v>
      </c>
      <c r="K98" s="331">
        <f t="shared" si="18"/>
        <v>91107000</v>
      </c>
      <c r="L98" s="331">
        <v>7228000</v>
      </c>
      <c r="M98" s="331">
        <v>83879000</v>
      </c>
      <c r="N98" s="331"/>
      <c r="O98" s="331">
        <f t="shared" si="19"/>
        <v>0</v>
      </c>
      <c r="P98" s="331"/>
      <c r="Q98" s="331"/>
      <c r="R98" s="130"/>
      <c r="S98" s="332">
        <f t="shared" si="20"/>
        <v>1</v>
      </c>
      <c r="T98" s="332"/>
      <c r="U98" s="332">
        <f t="shared" si="21"/>
        <v>1</v>
      </c>
      <c r="V98" s="332"/>
      <c r="W98" s="332"/>
      <c r="X98" s="332"/>
      <c r="Y98" s="332">
        <f t="shared" si="23"/>
        <v>0</v>
      </c>
    </row>
    <row r="99" spans="1:25">
      <c r="A99" s="329" t="s">
        <v>393</v>
      </c>
      <c r="B99" s="330" t="s">
        <v>399</v>
      </c>
      <c r="C99" s="331">
        <f t="shared" si="22"/>
        <v>128495000</v>
      </c>
      <c r="D99" s="331">
        <v>25698000</v>
      </c>
      <c r="E99" s="331">
        <v>98661000</v>
      </c>
      <c r="F99" s="331"/>
      <c r="G99" s="331"/>
      <c r="H99" s="331"/>
      <c r="I99" s="331"/>
      <c r="J99" s="331">
        <v>4136000</v>
      </c>
      <c r="K99" s="331">
        <f t="shared" si="18"/>
        <v>98661000</v>
      </c>
      <c r="L99" s="331"/>
      <c r="M99" s="331">
        <v>98661000</v>
      </c>
      <c r="N99" s="331"/>
      <c r="O99" s="331">
        <f t="shared" si="19"/>
        <v>0</v>
      </c>
      <c r="P99" s="331"/>
      <c r="Q99" s="331"/>
      <c r="R99" s="331"/>
      <c r="S99" s="332">
        <f t="shared" si="20"/>
        <v>0.76781975952371684</v>
      </c>
      <c r="T99" s="332">
        <f t="shared" si="20"/>
        <v>0</v>
      </c>
      <c r="U99" s="332">
        <f t="shared" si="21"/>
        <v>1</v>
      </c>
      <c r="V99" s="332"/>
      <c r="W99" s="332"/>
      <c r="X99" s="332"/>
      <c r="Y99" s="332">
        <f t="shared" si="23"/>
        <v>0</v>
      </c>
    </row>
    <row r="100" spans="1:25">
      <c r="A100" s="329" t="s">
        <v>394</v>
      </c>
      <c r="B100" s="330" t="s">
        <v>400</v>
      </c>
      <c r="C100" s="331">
        <f t="shared" si="22"/>
        <v>38951000</v>
      </c>
      <c r="D100" s="331">
        <v>3595000</v>
      </c>
      <c r="E100" s="331">
        <v>35356000</v>
      </c>
      <c r="F100" s="331"/>
      <c r="G100" s="331"/>
      <c r="H100" s="331"/>
      <c r="I100" s="331"/>
      <c r="J100" s="331"/>
      <c r="K100" s="331">
        <f t="shared" si="18"/>
        <v>35356000</v>
      </c>
      <c r="L100" s="331"/>
      <c r="M100" s="331">
        <v>35356000</v>
      </c>
      <c r="N100" s="331"/>
      <c r="O100" s="331">
        <f t="shared" si="19"/>
        <v>0</v>
      </c>
      <c r="P100" s="331"/>
      <c r="Q100" s="331"/>
      <c r="R100" s="331"/>
      <c r="S100" s="332">
        <f t="shared" si="20"/>
        <v>0.90770455187286592</v>
      </c>
      <c r="T100" s="332">
        <f t="shared" si="20"/>
        <v>0</v>
      </c>
      <c r="U100" s="332">
        <f t="shared" si="21"/>
        <v>1</v>
      </c>
      <c r="V100" s="332"/>
      <c r="W100" s="332"/>
      <c r="X100" s="332"/>
      <c r="Y100" s="332"/>
    </row>
    <row r="101" spans="1:25">
      <c r="A101" s="329" t="s">
        <v>395</v>
      </c>
      <c r="B101" s="330" t="s">
        <v>401</v>
      </c>
      <c r="C101" s="331">
        <f t="shared" si="22"/>
        <v>353806190</v>
      </c>
      <c r="D101" s="331"/>
      <c r="E101" s="331">
        <v>297717000</v>
      </c>
      <c r="F101" s="331"/>
      <c r="G101" s="331"/>
      <c r="H101" s="331"/>
      <c r="I101" s="331"/>
      <c r="J101" s="331">
        <v>56089190</v>
      </c>
      <c r="K101" s="331">
        <f t="shared" si="18"/>
        <v>308217000</v>
      </c>
      <c r="L101" s="331"/>
      <c r="M101" s="331">
        <v>297717000</v>
      </c>
      <c r="N101" s="331"/>
      <c r="O101" s="331">
        <f t="shared" si="19"/>
        <v>10500000</v>
      </c>
      <c r="P101" s="331">
        <v>10500000</v>
      </c>
      <c r="Q101" s="331"/>
      <c r="R101" s="331"/>
      <c r="S101" s="332">
        <f t="shared" si="20"/>
        <v>0.87114643189255681</v>
      </c>
      <c r="T101" s="332"/>
      <c r="U101" s="332">
        <f t="shared" si="21"/>
        <v>1</v>
      </c>
      <c r="V101" s="332"/>
      <c r="W101" s="332"/>
      <c r="X101" s="332"/>
      <c r="Y101" s="332">
        <f t="shared" si="23"/>
        <v>0</v>
      </c>
    </row>
    <row r="102" spans="1:25">
      <c r="A102" s="329" t="s">
        <v>405</v>
      </c>
      <c r="B102" s="330" t="s">
        <v>402</v>
      </c>
      <c r="C102" s="331">
        <f t="shared" si="22"/>
        <v>68630000</v>
      </c>
      <c r="D102" s="331">
        <v>31169000</v>
      </c>
      <c r="E102" s="331">
        <v>37461000</v>
      </c>
      <c r="F102" s="331"/>
      <c r="G102" s="331"/>
      <c r="H102" s="331"/>
      <c r="I102" s="331"/>
      <c r="J102" s="331"/>
      <c r="K102" s="331">
        <f t="shared" si="18"/>
        <v>68565100</v>
      </c>
      <c r="L102" s="331">
        <v>31104100</v>
      </c>
      <c r="M102" s="331">
        <v>37461000</v>
      </c>
      <c r="N102" s="331"/>
      <c r="O102" s="331">
        <f t="shared" si="19"/>
        <v>0</v>
      </c>
      <c r="P102" s="331"/>
      <c r="Q102" s="331"/>
      <c r="R102" s="331"/>
      <c r="S102" s="332">
        <f t="shared" si="20"/>
        <v>0.99905434940987903</v>
      </c>
      <c r="T102" s="332">
        <f t="shared" si="20"/>
        <v>0.99791780294523402</v>
      </c>
      <c r="U102" s="332">
        <f t="shared" si="21"/>
        <v>1</v>
      </c>
      <c r="V102" s="332"/>
      <c r="W102" s="332"/>
      <c r="X102" s="332"/>
      <c r="Y102" s="332"/>
    </row>
    <row r="103" spans="1:25">
      <c r="A103" s="329" t="s">
        <v>406</v>
      </c>
      <c r="B103" s="330" t="s">
        <v>403</v>
      </c>
      <c r="C103" s="331">
        <f t="shared" si="22"/>
        <v>80503000</v>
      </c>
      <c r="D103" s="331">
        <v>2636000</v>
      </c>
      <c r="E103" s="331">
        <v>25464000</v>
      </c>
      <c r="F103" s="331"/>
      <c r="G103" s="331"/>
      <c r="H103" s="331"/>
      <c r="I103" s="331"/>
      <c r="J103" s="331">
        <v>52403000</v>
      </c>
      <c r="K103" s="331">
        <f t="shared" si="18"/>
        <v>42660000</v>
      </c>
      <c r="L103" s="331">
        <v>2636000</v>
      </c>
      <c r="M103" s="331">
        <v>25464000</v>
      </c>
      <c r="N103" s="331"/>
      <c r="O103" s="331">
        <f t="shared" si="19"/>
        <v>14560000</v>
      </c>
      <c r="P103" s="331">
        <v>14560000</v>
      </c>
      <c r="Q103" s="331"/>
      <c r="R103" s="331"/>
      <c r="S103" s="332">
        <f t="shared" si="20"/>
        <v>0.52991813969665724</v>
      </c>
      <c r="T103" s="332">
        <f t="shared" si="20"/>
        <v>1</v>
      </c>
      <c r="U103" s="332">
        <f t="shared" si="21"/>
        <v>1</v>
      </c>
      <c r="V103" s="332"/>
      <c r="W103" s="332"/>
      <c r="X103" s="332"/>
      <c r="Y103" s="332">
        <f t="shared" si="23"/>
        <v>0</v>
      </c>
    </row>
    <row r="104" spans="1:25">
      <c r="A104" s="329" t="s">
        <v>407</v>
      </c>
      <c r="B104" s="330" t="s">
        <v>444</v>
      </c>
      <c r="C104" s="331">
        <f t="shared" si="22"/>
        <v>65925498</v>
      </c>
      <c r="D104" s="331">
        <v>3792000</v>
      </c>
      <c r="E104" s="331">
        <v>35098000</v>
      </c>
      <c r="F104" s="331"/>
      <c r="G104" s="331"/>
      <c r="H104" s="331"/>
      <c r="I104" s="331"/>
      <c r="J104" s="331">
        <v>27035498</v>
      </c>
      <c r="K104" s="331">
        <f t="shared" si="18"/>
        <v>46977000</v>
      </c>
      <c r="L104" s="331">
        <f>3792000+8087000</f>
        <v>11879000</v>
      </c>
      <c r="M104" s="331">
        <v>35098000</v>
      </c>
      <c r="N104" s="331"/>
      <c r="O104" s="331">
        <f t="shared" si="19"/>
        <v>0</v>
      </c>
      <c r="P104" s="331"/>
      <c r="Q104" s="331"/>
      <c r="R104" s="331"/>
      <c r="S104" s="332">
        <f t="shared" si="20"/>
        <v>0.71257709725605711</v>
      </c>
      <c r="T104" s="332">
        <f t="shared" si="20"/>
        <v>3.1326476793248945</v>
      </c>
      <c r="U104" s="332">
        <f t="shared" si="21"/>
        <v>1</v>
      </c>
      <c r="V104" s="332"/>
      <c r="W104" s="332"/>
      <c r="X104" s="332"/>
      <c r="Y104" s="332">
        <f t="shared" si="23"/>
        <v>0</v>
      </c>
    </row>
    <row r="105" spans="1:25">
      <c r="A105" s="329" t="s">
        <v>408</v>
      </c>
      <c r="B105" s="330" t="s">
        <v>404</v>
      </c>
      <c r="C105" s="331">
        <f t="shared" si="22"/>
        <v>139985662</v>
      </c>
      <c r="D105" s="331">
        <v>9084962</v>
      </c>
      <c r="E105" s="331">
        <v>80151000</v>
      </c>
      <c r="F105" s="331"/>
      <c r="G105" s="331"/>
      <c r="H105" s="331"/>
      <c r="I105" s="331"/>
      <c r="J105" s="331">
        <v>50749700</v>
      </c>
      <c r="K105" s="331">
        <f t="shared" si="18"/>
        <v>108918962</v>
      </c>
      <c r="L105" s="331">
        <v>28767962</v>
      </c>
      <c r="M105" s="331">
        <v>80151000</v>
      </c>
      <c r="N105" s="331"/>
      <c r="O105" s="331">
        <f t="shared" si="19"/>
        <v>0</v>
      </c>
      <c r="P105" s="331"/>
      <c r="Q105" s="331"/>
      <c r="R105" s="331"/>
      <c r="S105" s="332">
        <f t="shared" si="20"/>
        <v>0.7780722714301983</v>
      </c>
      <c r="T105" s="332">
        <f t="shared" si="20"/>
        <v>3.1665473119205121</v>
      </c>
      <c r="U105" s="332">
        <f t="shared" si="21"/>
        <v>1</v>
      </c>
      <c r="V105" s="332"/>
      <c r="W105" s="332"/>
      <c r="X105" s="332"/>
      <c r="Y105" s="332">
        <f t="shared" si="23"/>
        <v>0</v>
      </c>
    </row>
    <row r="106" spans="1:25">
      <c r="A106" s="329" t="s">
        <v>409</v>
      </c>
      <c r="B106" s="330" t="s">
        <v>271</v>
      </c>
      <c r="C106" s="331">
        <f t="shared" si="22"/>
        <v>88148000</v>
      </c>
      <c r="D106" s="331"/>
      <c r="E106" s="331">
        <v>81782000</v>
      </c>
      <c r="F106" s="331"/>
      <c r="G106" s="331"/>
      <c r="H106" s="331"/>
      <c r="I106" s="331"/>
      <c r="J106" s="331">
        <v>6366000</v>
      </c>
      <c r="K106" s="331">
        <f t="shared" si="18"/>
        <v>85366072</v>
      </c>
      <c r="L106" s="331"/>
      <c r="M106" s="331">
        <v>81782000</v>
      </c>
      <c r="N106" s="331"/>
      <c r="O106" s="331">
        <f t="shared" si="19"/>
        <v>3584072</v>
      </c>
      <c r="P106" s="331">
        <v>3584072</v>
      </c>
      <c r="Q106" s="331"/>
      <c r="R106" s="331"/>
      <c r="S106" s="332">
        <f t="shared" si="20"/>
        <v>0.96844025956346147</v>
      </c>
      <c r="T106" s="332"/>
      <c r="U106" s="332">
        <f t="shared" si="21"/>
        <v>1</v>
      </c>
      <c r="V106" s="332"/>
      <c r="W106" s="332"/>
      <c r="X106" s="332"/>
      <c r="Y106" s="332">
        <f t="shared" si="23"/>
        <v>0</v>
      </c>
    </row>
    <row r="107" spans="1:25">
      <c r="A107" s="329" t="s">
        <v>410</v>
      </c>
      <c r="B107" s="330" t="s">
        <v>272</v>
      </c>
      <c r="C107" s="331">
        <f t="shared" si="22"/>
        <v>1309429000</v>
      </c>
      <c r="D107" s="331">
        <v>46743000</v>
      </c>
      <c r="E107" s="331">
        <v>256977000</v>
      </c>
      <c r="F107" s="331"/>
      <c r="G107" s="331"/>
      <c r="H107" s="331"/>
      <c r="I107" s="331"/>
      <c r="J107" s="131">
        <v>1005709000</v>
      </c>
      <c r="K107" s="331">
        <f t="shared" si="18"/>
        <v>1309429000</v>
      </c>
      <c r="L107" s="331">
        <v>1052452000</v>
      </c>
      <c r="M107" s="331">
        <v>256977000</v>
      </c>
      <c r="N107" s="331"/>
      <c r="O107" s="331">
        <f t="shared" si="19"/>
        <v>0</v>
      </c>
      <c r="P107" s="331"/>
      <c r="Q107" s="331"/>
      <c r="R107" s="331"/>
      <c r="S107" s="332">
        <f t="shared" si="20"/>
        <v>1</v>
      </c>
      <c r="T107" s="332">
        <f t="shared" si="20"/>
        <v>22.51571358278245</v>
      </c>
      <c r="U107" s="332">
        <f t="shared" si="21"/>
        <v>1</v>
      </c>
      <c r="V107" s="332"/>
      <c r="W107" s="332"/>
      <c r="X107" s="332"/>
      <c r="Y107" s="332">
        <f t="shared" si="23"/>
        <v>0</v>
      </c>
    </row>
    <row r="108" spans="1:25">
      <c r="A108" s="329" t="s">
        <v>411</v>
      </c>
      <c r="B108" s="330" t="s">
        <v>273</v>
      </c>
      <c r="C108" s="331">
        <f t="shared" si="22"/>
        <v>288618200</v>
      </c>
      <c r="D108" s="131"/>
      <c r="E108" s="331">
        <v>263282000</v>
      </c>
      <c r="F108" s="331"/>
      <c r="G108" s="331"/>
      <c r="H108" s="331"/>
      <c r="I108" s="331"/>
      <c r="J108" s="331">
        <v>25336200</v>
      </c>
      <c r="K108" s="331">
        <f t="shared" si="18"/>
        <v>263282000</v>
      </c>
      <c r="L108" s="131"/>
      <c r="M108" s="331">
        <v>263282000</v>
      </c>
      <c r="N108" s="331"/>
      <c r="O108" s="331">
        <f t="shared" si="19"/>
        <v>0</v>
      </c>
      <c r="P108" s="331"/>
      <c r="Q108" s="331"/>
      <c r="R108" s="331"/>
      <c r="S108" s="332">
        <f t="shared" si="20"/>
        <v>0.91221551516848209</v>
      </c>
      <c r="T108" s="332"/>
      <c r="U108" s="332">
        <f t="shared" si="21"/>
        <v>1</v>
      </c>
      <c r="V108" s="332"/>
      <c r="W108" s="332"/>
      <c r="X108" s="332"/>
      <c r="Y108" s="332">
        <f t="shared" si="23"/>
        <v>0</v>
      </c>
    </row>
    <row r="109" spans="1:25" ht="25.5">
      <c r="A109" s="329" t="s">
        <v>412</v>
      </c>
      <c r="B109" s="330" t="s">
        <v>460</v>
      </c>
      <c r="C109" s="331">
        <f t="shared" si="22"/>
        <v>152000000</v>
      </c>
      <c r="D109" s="131"/>
      <c r="E109" s="331">
        <v>152000000</v>
      </c>
      <c r="F109" s="331"/>
      <c r="G109" s="331">
        <f t="shared" ref="G109:G110" si="24">H109+I109</f>
        <v>0</v>
      </c>
      <c r="H109" s="331"/>
      <c r="I109" s="331"/>
      <c r="J109" s="331"/>
      <c r="K109" s="331">
        <f t="shared" si="18"/>
        <v>152000000</v>
      </c>
      <c r="L109" s="132"/>
      <c r="M109" s="331">
        <v>152000000</v>
      </c>
      <c r="N109" s="331"/>
      <c r="O109" s="331">
        <f t="shared" si="19"/>
        <v>0</v>
      </c>
      <c r="P109" s="331"/>
      <c r="Q109" s="331"/>
      <c r="R109" s="331"/>
      <c r="S109" s="332">
        <f t="shared" si="20"/>
        <v>1</v>
      </c>
      <c r="T109" s="332"/>
      <c r="U109" s="332">
        <f>M109/E109</f>
        <v>1</v>
      </c>
      <c r="V109" s="332"/>
      <c r="W109" s="332"/>
      <c r="X109" s="332"/>
      <c r="Y109" s="332"/>
    </row>
    <row r="110" spans="1:25">
      <c r="A110" s="329" t="s">
        <v>17</v>
      </c>
      <c r="B110" s="330" t="s">
        <v>414</v>
      </c>
      <c r="C110" s="333">
        <f t="shared" si="22"/>
        <v>4840000000</v>
      </c>
      <c r="D110" s="331"/>
      <c r="E110" s="331"/>
      <c r="F110" s="331">
        <v>4840000000</v>
      </c>
      <c r="G110" s="331">
        <f t="shared" si="24"/>
        <v>0</v>
      </c>
      <c r="H110" s="331"/>
      <c r="I110" s="331"/>
      <c r="J110" s="331"/>
      <c r="K110" s="331">
        <f>L110+M110+N110+O110+R110</f>
        <v>0</v>
      </c>
      <c r="L110" s="331"/>
      <c r="M110" s="331"/>
      <c r="N110" s="331"/>
      <c r="O110" s="331">
        <f t="shared" si="19"/>
        <v>0</v>
      </c>
      <c r="P110" s="331"/>
      <c r="Q110" s="331"/>
      <c r="R110" s="331"/>
      <c r="S110" s="332">
        <f t="shared" ref="S110:S113" si="25">K110/C110</f>
        <v>0</v>
      </c>
      <c r="T110" s="332"/>
      <c r="U110" s="332"/>
      <c r="V110" s="332"/>
      <c r="W110" s="332"/>
      <c r="X110" s="332"/>
      <c r="Y110" s="332"/>
    </row>
    <row r="111" spans="1:25" ht="25.5">
      <c r="A111" s="329" t="s">
        <v>59</v>
      </c>
      <c r="B111" s="330" t="s">
        <v>415</v>
      </c>
      <c r="C111" s="333">
        <f t="shared" si="22"/>
        <v>3146000000</v>
      </c>
      <c r="D111" s="331"/>
      <c r="E111" s="331"/>
      <c r="F111" s="331">
        <v>3146000000</v>
      </c>
      <c r="G111" s="331">
        <f t="shared" ref="G111:G113" si="26">H111+I111</f>
        <v>0</v>
      </c>
      <c r="H111" s="331"/>
      <c r="I111" s="331"/>
      <c r="J111" s="331"/>
      <c r="K111" s="331">
        <f t="shared" ref="K111:K114" si="27">L111+M111+N111+O111+R111</f>
        <v>0</v>
      </c>
      <c r="L111" s="331"/>
      <c r="M111" s="331"/>
      <c r="N111" s="331"/>
      <c r="O111" s="331">
        <f t="shared" si="19"/>
        <v>0</v>
      </c>
      <c r="P111" s="331"/>
      <c r="Q111" s="331"/>
      <c r="R111" s="331"/>
      <c r="S111" s="332">
        <f t="shared" si="25"/>
        <v>0</v>
      </c>
      <c r="T111" s="332"/>
      <c r="U111" s="332"/>
      <c r="V111" s="332"/>
      <c r="W111" s="332"/>
      <c r="X111" s="332"/>
      <c r="Y111" s="332"/>
    </row>
    <row r="112" spans="1:25" ht="25.5">
      <c r="A112" s="329" t="s">
        <v>60</v>
      </c>
      <c r="B112" s="330" t="s">
        <v>544</v>
      </c>
      <c r="C112" s="333">
        <f t="shared" si="22"/>
        <v>60692000000</v>
      </c>
      <c r="D112" s="331"/>
      <c r="E112" s="331"/>
      <c r="F112" s="331">
        <v>60692000000</v>
      </c>
      <c r="G112" s="331">
        <f t="shared" si="26"/>
        <v>0</v>
      </c>
      <c r="H112" s="331"/>
      <c r="I112" s="331"/>
      <c r="J112" s="331"/>
      <c r="K112" s="331">
        <f t="shared" si="27"/>
        <v>69006363157</v>
      </c>
      <c r="L112" s="331"/>
      <c r="M112" s="331"/>
      <c r="N112" s="331">
        <v>69006363157</v>
      </c>
      <c r="O112" s="331">
        <f t="shared" si="19"/>
        <v>0</v>
      </c>
      <c r="P112" s="331"/>
      <c r="Q112" s="331"/>
      <c r="R112" s="331"/>
      <c r="S112" s="332">
        <f t="shared" si="25"/>
        <v>1.1369927363902985</v>
      </c>
      <c r="T112" s="332"/>
      <c r="U112" s="332"/>
      <c r="V112" s="332"/>
      <c r="W112" s="332"/>
      <c r="X112" s="332"/>
      <c r="Y112" s="332"/>
    </row>
    <row r="113" spans="1:25" ht="25.5">
      <c r="A113" s="329" t="s">
        <v>20</v>
      </c>
      <c r="B113" s="330" t="s">
        <v>560</v>
      </c>
      <c r="C113" s="331">
        <f t="shared" si="22"/>
        <v>40956784334</v>
      </c>
      <c r="D113" s="331"/>
      <c r="E113" s="331"/>
      <c r="F113" s="331"/>
      <c r="G113" s="331">
        <f t="shared" si="26"/>
        <v>0</v>
      </c>
      <c r="H113" s="331"/>
      <c r="I113" s="331"/>
      <c r="J113" s="331">
        <v>40956784334</v>
      </c>
      <c r="K113" s="331">
        <f t="shared" si="27"/>
        <v>58835556829</v>
      </c>
      <c r="L113" s="331"/>
      <c r="M113" s="331"/>
      <c r="N113" s="331"/>
      <c r="O113" s="331">
        <f t="shared" ref="O113" si="28">P113+Q113</f>
        <v>0</v>
      </c>
      <c r="P113" s="331"/>
      <c r="Q113" s="331"/>
      <c r="R113" s="331">
        <v>58835556829</v>
      </c>
      <c r="S113" s="332">
        <f t="shared" si="25"/>
        <v>1.4365277398049547</v>
      </c>
      <c r="T113" s="332"/>
      <c r="U113" s="332"/>
      <c r="V113" s="332"/>
      <c r="W113" s="332"/>
      <c r="X113" s="332"/>
      <c r="Y113" s="332">
        <f t="shared" ref="Y113" si="29">R113/J113</f>
        <v>1.4365277398049547</v>
      </c>
    </row>
    <row r="114" spans="1:25">
      <c r="A114" s="334" t="s">
        <v>22</v>
      </c>
      <c r="B114" s="335" t="s">
        <v>284</v>
      </c>
      <c r="C114" s="336"/>
      <c r="D114" s="336"/>
      <c r="E114" s="336"/>
      <c r="F114" s="336"/>
      <c r="G114" s="336"/>
      <c r="H114" s="336"/>
      <c r="I114" s="336"/>
      <c r="J114" s="336"/>
      <c r="K114" s="337">
        <f t="shared" si="27"/>
        <v>12296108112</v>
      </c>
      <c r="L114" s="336"/>
      <c r="M114" s="336"/>
      <c r="N114" s="337">
        <f>12296108112-Q114</f>
        <v>12296108112</v>
      </c>
      <c r="O114" s="336"/>
      <c r="P114" s="336"/>
      <c r="Q114" s="336"/>
      <c r="R114" s="336"/>
      <c r="S114" s="336"/>
      <c r="T114" s="336"/>
      <c r="U114" s="336"/>
      <c r="V114" s="336"/>
      <c r="W114" s="336"/>
      <c r="X114" s="336"/>
      <c r="Y114" s="336"/>
    </row>
    <row r="115" spans="1:25" ht="8.25" customHeight="1">
      <c r="A115" s="343"/>
      <c r="B115" s="344"/>
      <c r="C115" s="345"/>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row>
    <row r="116" spans="1:25" ht="15" customHeight="1">
      <c r="C116" s="342" t="s">
        <v>559</v>
      </c>
    </row>
    <row r="117" spans="1:25" ht="15" customHeight="1">
      <c r="C117" s="342" t="s">
        <v>561</v>
      </c>
    </row>
    <row r="118" spans="1:25">
      <c r="A118" s="338"/>
      <c r="B118" s="339"/>
      <c r="C118" s="340"/>
      <c r="D118" s="340"/>
      <c r="E118" s="340"/>
      <c r="F118" s="340"/>
      <c r="G118" s="340"/>
      <c r="H118" s="340"/>
      <c r="I118" s="340"/>
      <c r="J118" s="340"/>
      <c r="K118" s="340"/>
      <c r="L118" s="340"/>
      <c r="M118" s="340"/>
      <c r="N118" s="340"/>
      <c r="O118" s="340"/>
      <c r="P118" s="340"/>
      <c r="Q118" s="340"/>
      <c r="R118" s="340"/>
      <c r="S118" s="340"/>
      <c r="T118" s="340"/>
      <c r="U118" s="340"/>
      <c r="V118" s="340"/>
      <c r="W118" s="340"/>
      <c r="X118" s="340"/>
      <c r="Y118" s="340"/>
    </row>
    <row r="119" spans="1:25">
      <c r="A119" s="389" t="s">
        <v>100</v>
      </c>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row>
    <row r="120" spans="1:25">
      <c r="A120" s="389" t="s">
        <v>101</v>
      </c>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row>
    <row r="121" spans="1:25">
      <c r="J121" s="341">
        <v>70256683005</v>
      </c>
    </row>
    <row r="122" spans="1:25">
      <c r="J122" s="341">
        <v>29299898671</v>
      </c>
      <c r="R122" s="341">
        <v>80289312185</v>
      </c>
    </row>
    <row r="123" spans="1:25">
      <c r="J123" s="341">
        <f>J121-J122</f>
        <v>40956784334</v>
      </c>
      <c r="R123" s="341">
        <v>21453755356</v>
      </c>
    </row>
    <row r="124" spans="1:25">
      <c r="R124" s="341">
        <f>R122-R123</f>
        <v>58835556829</v>
      </c>
    </row>
  </sheetData>
  <mergeCells count="37">
    <mergeCell ref="A120:Y120"/>
    <mergeCell ref="X7:X8"/>
    <mergeCell ref="K6:K8"/>
    <mergeCell ref="L6:L8"/>
    <mergeCell ref="M6:M8"/>
    <mergeCell ref="O6:Q6"/>
    <mergeCell ref="V6:X6"/>
    <mergeCell ref="Y6:Y8"/>
    <mergeCell ref="G7:G8"/>
    <mergeCell ref="H7:H8"/>
    <mergeCell ref="I7:I8"/>
    <mergeCell ref="O7:O8"/>
    <mergeCell ref="P7:P8"/>
    <mergeCell ref="R6:R8"/>
    <mergeCell ref="U6:U8"/>
    <mergeCell ref="V7:V8"/>
    <mergeCell ref="A119:Y119"/>
    <mergeCell ref="A5:A8"/>
    <mergeCell ref="B5:B8"/>
    <mergeCell ref="C5:J5"/>
    <mergeCell ref="S5:Y5"/>
    <mergeCell ref="C6:C8"/>
    <mergeCell ref="D6:D8"/>
    <mergeCell ref="E6:E8"/>
    <mergeCell ref="G6:I6"/>
    <mergeCell ref="Q7:Q8"/>
    <mergeCell ref="W7:W8"/>
    <mergeCell ref="S6:S8"/>
    <mergeCell ref="T6:T8"/>
    <mergeCell ref="F6:F8"/>
    <mergeCell ref="N6:N8"/>
    <mergeCell ref="X4:Y4"/>
    <mergeCell ref="J6:J8"/>
    <mergeCell ref="C2:M2"/>
    <mergeCell ref="C3:M3"/>
    <mergeCell ref="K5:M5"/>
    <mergeCell ref="N5:R5"/>
  </mergeCells>
  <phoneticPr fontId="30" type="noConversion"/>
  <pageMargins left="0.68" right="0.16" top="0.67" bottom="0.56000000000000005" header="0.3" footer="0.3"/>
  <pageSetup paperSize="9" scale="70" firstPageNumber="3" pageOrder="overThenDown" orientation="landscape" verticalDpi="0" r:id="rId1"/>
  <headerFoot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showZeros="0" topLeftCell="F13" workbookViewId="0">
      <selection activeCell="E16" sqref="E16"/>
    </sheetView>
  </sheetViews>
  <sheetFormatPr defaultRowHeight="15"/>
  <cols>
    <col min="1" max="1" width="5.140625" style="92" customWidth="1"/>
    <col min="2" max="2" width="19.140625" style="92" customWidth="1"/>
    <col min="3" max="3" width="16.85546875" style="92" customWidth="1"/>
    <col min="4" max="4" width="14.7109375" style="92" customWidth="1"/>
    <col min="5" max="5" width="17.42578125" style="92" customWidth="1"/>
    <col min="6" max="6" width="11.42578125" style="92" customWidth="1"/>
    <col min="7" max="7" width="17.28515625" style="92" customWidth="1"/>
    <col min="8" max="8" width="14.140625" style="92" customWidth="1"/>
    <col min="9" max="9" width="10.140625" style="92" customWidth="1"/>
    <col min="10" max="10" width="10.7109375" style="92" customWidth="1"/>
    <col min="11" max="11" width="15.42578125" style="92" customWidth="1"/>
    <col min="12" max="12" width="12.28515625" style="92" customWidth="1"/>
    <col min="13" max="13" width="10" style="92" customWidth="1"/>
    <col min="14" max="14" width="12.85546875" style="92" customWidth="1"/>
    <col min="15" max="15" width="8" style="92" customWidth="1"/>
    <col min="16" max="16" width="12.42578125" style="92" customWidth="1"/>
    <col min="17" max="17" width="14.28515625" style="92" customWidth="1"/>
    <col min="18" max="18" width="8.85546875" style="92" customWidth="1"/>
    <col min="19" max="19" width="8.140625" style="92" customWidth="1"/>
    <col min="20" max="20" width="9" style="92" customWidth="1"/>
    <col min="21" max="21" width="8" style="92" customWidth="1"/>
    <col min="22" max="16384" width="9.140625" style="92"/>
  </cols>
  <sheetData>
    <row r="1" spans="1:21" s="207" customFormat="1">
      <c r="A1" s="205" t="s">
        <v>106</v>
      </c>
      <c r="B1" s="206"/>
      <c r="C1" s="206"/>
      <c r="D1" s="206"/>
      <c r="E1" s="206"/>
      <c r="F1" s="206"/>
      <c r="G1" s="206"/>
      <c r="H1" s="206"/>
      <c r="I1" s="206"/>
      <c r="J1" s="206"/>
      <c r="K1" s="206"/>
      <c r="L1" s="206"/>
      <c r="M1" s="206"/>
      <c r="N1" s="206"/>
      <c r="O1" s="206"/>
      <c r="P1" s="206"/>
      <c r="Q1" s="206"/>
      <c r="R1" s="206"/>
      <c r="S1" s="206"/>
      <c r="T1" s="206"/>
      <c r="U1" s="206"/>
    </row>
    <row r="2" spans="1:21" s="207" customFormat="1" ht="19.5" customHeight="1">
      <c r="B2" s="208"/>
      <c r="C2" s="393" t="s">
        <v>545</v>
      </c>
      <c r="D2" s="393"/>
      <c r="E2" s="393"/>
      <c r="F2" s="393"/>
      <c r="G2" s="393"/>
      <c r="H2" s="393"/>
      <c r="I2" s="393"/>
      <c r="J2" s="393"/>
      <c r="K2" s="208"/>
      <c r="L2" s="393"/>
      <c r="M2" s="393"/>
      <c r="N2" s="393"/>
      <c r="O2" s="393"/>
      <c r="P2" s="393"/>
      <c r="Q2" s="393"/>
      <c r="R2" s="393"/>
      <c r="S2" s="393"/>
      <c r="T2" s="393"/>
      <c r="U2" s="393"/>
    </row>
    <row r="3" spans="1:21" s="207" customFormat="1" ht="18.75" customHeight="1">
      <c r="B3" s="209"/>
      <c r="C3" s="398" t="s">
        <v>549</v>
      </c>
      <c r="D3" s="398"/>
      <c r="E3" s="398"/>
      <c r="F3" s="398"/>
      <c r="G3" s="398"/>
      <c r="H3" s="398"/>
      <c r="I3" s="398"/>
      <c r="J3" s="398"/>
      <c r="K3" s="209"/>
      <c r="L3" s="394"/>
      <c r="M3" s="394"/>
      <c r="N3" s="394"/>
      <c r="O3" s="394"/>
      <c r="P3" s="394"/>
      <c r="Q3" s="394"/>
      <c r="R3" s="394"/>
      <c r="S3" s="394"/>
      <c r="T3" s="394"/>
      <c r="U3" s="394"/>
    </row>
    <row r="4" spans="1:21" s="207" customFormat="1">
      <c r="A4" s="210" t="s">
        <v>0</v>
      </c>
      <c r="B4" s="210"/>
      <c r="C4" s="210"/>
      <c r="D4" s="210"/>
      <c r="E4" s="210"/>
      <c r="F4" s="210"/>
      <c r="G4" s="210"/>
      <c r="H4" s="210"/>
      <c r="I4" s="210"/>
      <c r="J4" s="210"/>
      <c r="K4" s="210"/>
      <c r="L4" s="210"/>
      <c r="M4" s="210"/>
      <c r="N4" s="210"/>
      <c r="O4" s="210"/>
      <c r="P4" s="210"/>
      <c r="Q4" s="210"/>
      <c r="R4" s="210"/>
      <c r="S4" s="396" t="s">
        <v>1</v>
      </c>
      <c r="T4" s="396"/>
      <c r="U4" s="396"/>
    </row>
    <row r="5" spans="1:21" s="207" customFormat="1" ht="15" customHeight="1">
      <c r="B5" s="211"/>
      <c r="C5" s="211"/>
      <c r="D5" s="211"/>
      <c r="E5" s="211"/>
      <c r="F5" s="211"/>
      <c r="G5" s="211"/>
      <c r="H5" s="211"/>
      <c r="I5" s="211"/>
      <c r="J5" s="211"/>
      <c r="K5" s="211"/>
      <c r="L5" s="211"/>
      <c r="M5" s="211"/>
      <c r="N5" s="211"/>
      <c r="O5" s="211"/>
      <c r="P5" s="211"/>
      <c r="Q5" s="211"/>
      <c r="S5" s="397"/>
      <c r="T5" s="397"/>
      <c r="U5" s="397"/>
    </row>
    <row r="6" spans="1:21" ht="18.75" customHeight="1">
      <c r="A6" s="395" t="s">
        <v>166</v>
      </c>
      <c r="B6" s="395" t="s">
        <v>418</v>
      </c>
      <c r="C6" s="395" t="s">
        <v>420</v>
      </c>
      <c r="D6" s="395"/>
      <c r="E6" s="395"/>
      <c r="F6" s="395"/>
      <c r="G6" s="402" t="s">
        <v>108</v>
      </c>
      <c r="H6" s="399"/>
      <c r="I6" s="399"/>
      <c r="J6" s="400"/>
      <c r="K6" s="399" t="s">
        <v>108</v>
      </c>
      <c r="L6" s="399"/>
      <c r="M6" s="399"/>
      <c r="N6" s="399"/>
      <c r="O6" s="399"/>
      <c r="P6" s="399"/>
      <c r="Q6" s="400"/>
      <c r="R6" s="395" t="s">
        <v>6</v>
      </c>
      <c r="S6" s="395"/>
      <c r="T6" s="395"/>
      <c r="U6" s="395"/>
    </row>
    <row r="7" spans="1:21" ht="18.75" customHeight="1">
      <c r="A7" s="395"/>
      <c r="B7" s="395"/>
      <c r="C7" s="395" t="s">
        <v>68</v>
      </c>
      <c r="D7" s="395" t="s">
        <v>10</v>
      </c>
      <c r="E7" s="395" t="s">
        <v>18</v>
      </c>
      <c r="F7" s="395" t="s">
        <v>426</v>
      </c>
      <c r="G7" s="395" t="s">
        <v>68</v>
      </c>
      <c r="H7" s="395" t="s">
        <v>10</v>
      </c>
      <c r="I7" s="395"/>
      <c r="J7" s="395"/>
      <c r="K7" s="395" t="s">
        <v>18</v>
      </c>
      <c r="L7" s="395"/>
      <c r="M7" s="395"/>
      <c r="N7" s="395" t="s">
        <v>109</v>
      </c>
      <c r="O7" s="395"/>
      <c r="P7" s="395"/>
      <c r="Q7" s="395" t="s">
        <v>110</v>
      </c>
      <c r="R7" s="395" t="s">
        <v>68</v>
      </c>
      <c r="S7" s="395" t="s">
        <v>10</v>
      </c>
      <c r="T7" s="395" t="s">
        <v>18</v>
      </c>
      <c r="U7" s="395" t="s">
        <v>426</v>
      </c>
    </row>
    <row r="8" spans="1:21" ht="18.75" customHeight="1">
      <c r="A8" s="395"/>
      <c r="B8" s="395"/>
      <c r="C8" s="395"/>
      <c r="D8" s="395"/>
      <c r="E8" s="395"/>
      <c r="F8" s="395"/>
      <c r="G8" s="395"/>
      <c r="H8" s="395" t="s">
        <v>68</v>
      </c>
      <c r="I8" s="395" t="s">
        <v>102</v>
      </c>
      <c r="J8" s="395"/>
      <c r="K8" s="395" t="s">
        <v>68</v>
      </c>
      <c r="L8" s="395" t="s">
        <v>102</v>
      </c>
      <c r="M8" s="395"/>
      <c r="N8" s="395" t="s">
        <v>68</v>
      </c>
      <c r="O8" s="395" t="s">
        <v>102</v>
      </c>
      <c r="P8" s="395"/>
      <c r="Q8" s="395"/>
      <c r="R8" s="395"/>
      <c r="S8" s="395"/>
      <c r="T8" s="395"/>
      <c r="U8" s="395"/>
    </row>
    <row r="9" spans="1:21" ht="60">
      <c r="A9" s="395"/>
      <c r="B9" s="395"/>
      <c r="C9" s="395"/>
      <c r="D9" s="395"/>
      <c r="E9" s="395"/>
      <c r="F9" s="395"/>
      <c r="G9" s="395"/>
      <c r="H9" s="395"/>
      <c r="I9" s="93" t="s">
        <v>111</v>
      </c>
      <c r="J9" s="93" t="s">
        <v>15</v>
      </c>
      <c r="K9" s="395"/>
      <c r="L9" s="93" t="s">
        <v>111</v>
      </c>
      <c r="M9" s="93" t="s">
        <v>15</v>
      </c>
      <c r="N9" s="395"/>
      <c r="O9" s="93" t="s">
        <v>10</v>
      </c>
      <c r="P9" s="93" t="s">
        <v>18</v>
      </c>
      <c r="Q9" s="395"/>
      <c r="R9" s="395"/>
      <c r="S9" s="395"/>
      <c r="T9" s="395"/>
      <c r="U9" s="395"/>
    </row>
    <row r="10" spans="1:21">
      <c r="A10" s="121" t="s">
        <v>7</v>
      </c>
      <c r="B10" s="121" t="s">
        <v>24</v>
      </c>
      <c r="C10" s="122" t="s">
        <v>11</v>
      </c>
      <c r="D10" s="122" t="s">
        <v>19</v>
      </c>
      <c r="E10" s="122" t="s">
        <v>28</v>
      </c>
      <c r="F10" s="122" t="s">
        <v>29</v>
      </c>
      <c r="G10" s="122" t="s">
        <v>30</v>
      </c>
      <c r="H10" s="122" t="s">
        <v>31</v>
      </c>
      <c r="I10" s="122" t="s">
        <v>32</v>
      </c>
      <c r="J10" s="122" t="s">
        <v>33</v>
      </c>
      <c r="K10" s="122" t="s">
        <v>34</v>
      </c>
      <c r="L10" s="122" t="s">
        <v>35</v>
      </c>
      <c r="M10" s="122" t="s">
        <v>36</v>
      </c>
      <c r="N10" s="122" t="s">
        <v>37</v>
      </c>
      <c r="O10" s="122" t="s">
        <v>38</v>
      </c>
      <c r="P10" s="122" t="s">
        <v>39</v>
      </c>
      <c r="Q10" s="122" t="s">
        <v>40</v>
      </c>
      <c r="R10" s="122" t="s">
        <v>423</v>
      </c>
      <c r="S10" s="122" t="s">
        <v>424</v>
      </c>
      <c r="T10" s="122" t="s">
        <v>425</v>
      </c>
      <c r="U10" s="122" t="s">
        <v>425</v>
      </c>
    </row>
    <row r="11" spans="1:21" s="91" customFormat="1" ht="23.25" customHeight="1">
      <c r="A11" s="103"/>
      <c r="B11" s="104" t="s">
        <v>112</v>
      </c>
      <c r="C11" s="105">
        <f t="shared" ref="C11:F11" si="0">SUM(C12:C23)</f>
        <v>62251900000</v>
      </c>
      <c r="D11" s="105">
        <f t="shared" si="0"/>
        <v>900000000</v>
      </c>
      <c r="E11" s="105">
        <f t="shared" si="0"/>
        <v>61351900000</v>
      </c>
      <c r="F11" s="105">
        <f t="shared" si="0"/>
        <v>0</v>
      </c>
      <c r="G11" s="105">
        <f>SUM(G12:G23)</f>
        <v>77069651080</v>
      </c>
      <c r="H11" s="105">
        <f t="shared" ref="H11:Q11" si="1">SUM(H12:H23)</f>
        <v>438753441</v>
      </c>
      <c r="I11" s="105">
        <f t="shared" si="1"/>
        <v>0</v>
      </c>
      <c r="J11" s="105">
        <f t="shared" si="1"/>
        <v>0</v>
      </c>
      <c r="K11" s="105">
        <f>SUM(K12:K23)</f>
        <v>66883451668</v>
      </c>
      <c r="L11" s="105">
        <f t="shared" si="1"/>
        <v>111550000</v>
      </c>
      <c r="M11" s="105">
        <f t="shared" si="1"/>
        <v>0</v>
      </c>
      <c r="N11" s="105">
        <f t="shared" si="1"/>
        <v>212000000</v>
      </c>
      <c r="O11" s="105">
        <f t="shared" si="1"/>
        <v>0</v>
      </c>
      <c r="P11" s="105">
        <f t="shared" si="1"/>
        <v>212000000</v>
      </c>
      <c r="Q11" s="105">
        <f t="shared" si="1"/>
        <v>9535445971</v>
      </c>
      <c r="R11" s="108">
        <f>G11/C11</f>
        <v>1.2380288967886923</v>
      </c>
      <c r="S11" s="108">
        <f>H11/D11</f>
        <v>0.48750382333333331</v>
      </c>
      <c r="T11" s="108">
        <f>K11/E11</f>
        <v>1.0901610490954641</v>
      </c>
      <c r="U11" s="108"/>
    </row>
    <row r="12" spans="1:21" ht="21.95" customHeight="1">
      <c r="A12" s="94" t="s">
        <v>11</v>
      </c>
      <c r="B12" s="95" t="s">
        <v>419</v>
      </c>
      <c r="C12" s="96">
        <f>SUM(D12:F12)</f>
        <v>4858500000</v>
      </c>
      <c r="D12" s="96">
        <v>5000000</v>
      </c>
      <c r="E12" s="96">
        <v>4853500000</v>
      </c>
      <c r="F12" s="96"/>
      <c r="G12" s="96">
        <f>H12+K12+N12+Q12</f>
        <v>5932368980</v>
      </c>
      <c r="H12" s="96"/>
      <c r="I12" s="96"/>
      <c r="J12" s="96"/>
      <c r="K12" s="96">
        <v>5203496817</v>
      </c>
      <c r="L12" s="96">
        <v>500000</v>
      </c>
      <c r="M12" s="96">
        <v>0</v>
      </c>
      <c r="N12" s="96">
        <f>O12+P12</f>
        <v>0</v>
      </c>
      <c r="O12" s="96"/>
      <c r="P12" s="96"/>
      <c r="Q12" s="96">
        <v>728872163</v>
      </c>
      <c r="R12" s="109">
        <f>G12/C12</f>
        <v>1.2210289142739528</v>
      </c>
      <c r="S12" s="109">
        <f>H12/D12</f>
        <v>0</v>
      </c>
      <c r="T12" s="109">
        <f>K12/E12</f>
        <v>1.0721122523951787</v>
      </c>
      <c r="U12" s="109"/>
    </row>
    <row r="13" spans="1:21" ht="21.95" customHeight="1">
      <c r="A13" s="94" t="s">
        <v>19</v>
      </c>
      <c r="B13" s="95" t="s">
        <v>267</v>
      </c>
      <c r="C13" s="96">
        <f t="shared" ref="C13:C23" si="2">SUM(D13:F13)</f>
        <v>3718500000</v>
      </c>
      <c r="D13" s="96"/>
      <c r="E13" s="96">
        <v>3718500000</v>
      </c>
      <c r="F13" s="96"/>
      <c r="G13" s="96">
        <f t="shared" ref="G13:G22" si="3">H13+K13+N13+Q13</f>
        <v>4560575930</v>
      </c>
      <c r="H13" s="96"/>
      <c r="I13" s="96"/>
      <c r="J13" s="96"/>
      <c r="K13" s="96">
        <v>4102615171</v>
      </c>
      <c r="L13" s="96">
        <v>6850000</v>
      </c>
      <c r="M13" s="96">
        <v>0</v>
      </c>
      <c r="N13" s="96">
        <f t="shared" ref="N13:N23" si="4">O13+P13</f>
        <v>0</v>
      </c>
      <c r="O13" s="96"/>
      <c r="P13" s="96"/>
      <c r="Q13" s="96">
        <v>457960759</v>
      </c>
      <c r="R13" s="109">
        <f t="shared" ref="R13:R23" si="5">G13/C13</f>
        <v>1.2264558101384968</v>
      </c>
      <c r="S13" s="109"/>
      <c r="T13" s="109">
        <f t="shared" ref="T13:T23" si="6">K13/E13</f>
        <v>1.1032984189861503</v>
      </c>
      <c r="U13" s="109"/>
    </row>
    <row r="14" spans="1:21" ht="21.95" customHeight="1">
      <c r="A14" s="94" t="s">
        <v>28</v>
      </c>
      <c r="B14" s="95" t="s">
        <v>274</v>
      </c>
      <c r="C14" s="96">
        <f t="shared" si="2"/>
        <v>7017900000</v>
      </c>
      <c r="D14" s="96"/>
      <c r="E14" s="96">
        <v>7017900000</v>
      </c>
      <c r="F14" s="96"/>
      <c r="G14" s="96">
        <f t="shared" si="3"/>
        <v>8632608579</v>
      </c>
      <c r="H14" s="96"/>
      <c r="I14" s="96"/>
      <c r="J14" s="96"/>
      <c r="K14" s="96">
        <v>7365660610</v>
      </c>
      <c r="L14" s="96">
        <v>8000000</v>
      </c>
      <c r="M14" s="96">
        <v>0</v>
      </c>
      <c r="N14" s="96">
        <f t="shared" si="4"/>
        <v>0</v>
      </c>
      <c r="O14" s="96"/>
      <c r="P14" s="96"/>
      <c r="Q14" s="96">
        <v>1266947969</v>
      </c>
      <c r="R14" s="109">
        <f t="shared" si="5"/>
        <v>1.2300842957294917</v>
      </c>
      <c r="S14" s="109"/>
      <c r="T14" s="109">
        <f t="shared" si="6"/>
        <v>1.0495533720913663</v>
      </c>
      <c r="U14" s="109"/>
    </row>
    <row r="15" spans="1:21" ht="21.95" customHeight="1">
      <c r="A15" s="94" t="s">
        <v>29</v>
      </c>
      <c r="B15" s="95" t="s">
        <v>265</v>
      </c>
      <c r="C15" s="96">
        <f t="shared" si="2"/>
        <v>6044300000</v>
      </c>
      <c r="D15" s="96">
        <v>750000000</v>
      </c>
      <c r="E15" s="96">
        <v>5294300000</v>
      </c>
      <c r="F15" s="96"/>
      <c r="G15" s="96">
        <f t="shared" si="3"/>
        <v>7665189843</v>
      </c>
      <c r="H15" s="96">
        <v>278786500</v>
      </c>
      <c r="I15" s="96"/>
      <c r="J15" s="96"/>
      <c r="K15" s="96">
        <v>6476328047</v>
      </c>
      <c r="L15" s="96">
        <v>23000000</v>
      </c>
      <c r="M15" s="96">
        <v>0</v>
      </c>
      <c r="N15" s="96">
        <f t="shared" si="4"/>
        <v>0</v>
      </c>
      <c r="O15" s="96"/>
      <c r="P15" s="96"/>
      <c r="Q15" s="96">
        <v>910075296</v>
      </c>
      <c r="R15" s="109">
        <f t="shared" si="5"/>
        <v>1.2681683309895273</v>
      </c>
      <c r="S15" s="109">
        <f t="shared" ref="S15:S23" si="7">H15/D15</f>
        <v>0.37171533333333334</v>
      </c>
      <c r="T15" s="109">
        <f t="shared" si="6"/>
        <v>1.2232642742194435</v>
      </c>
      <c r="U15" s="109"/>
    </row>
    <row r="16" spans="1:21" ht="21.95" customHeight="1">
      <c r="A16" s="94" t="s">
        <v>30</v>
      </c>
      <c r="B16" s="95" t="s">
        <v>269</v>
      </c>
      <c r="C16" s="96">
        <f t="shared" si="2"/>
        <v>5129000000</v>
      </c>
      <c r="D16" s="96">
        <v>120000000</v>
      </c>
      <c r="E16" s="96">
        <v>5009000000</v>
      </c>
      <c r="F16" s="96"/>
      <c r="G16" s="96">
        <f t="shared" si="3"/>
        <v>6696441126</v>
      </c>
      <c r="H16" s="96"/>
      <c r="I16" s="96"/>
      <c r="J16" s="96"/>
      <c r="K16" s="96">
        <f>5732760139-P16</f>
        <v>5590760139</v>
      </c>
      <c r="L16" s="96">
        <v>42300000</v>
      </c>
      <c r="M16" s="96">
        <v>0</v>
      </c>
      <c r="N16" s="96">
        <f t="shared" si="4"/>
        <v>142000000</v>
      </c>
      <c r="O16" s="96"/>
      <c r="P16" s="96">
        <v>142000000</v>
      </c>
      <c r="Q16" s="96">
        <v>963680987</v>
      </c>
      <c r="R16" s="109">
        <f t="shared" si="5"/>
        <v>1.3056036510040943</v>
      </c>
      <c r="S16" s="109">
        <f t="shared" si="7"/>
        <v>0</v>
      </c>
      <c r="T16" s="109">
        <f t="shared" si="6"/>
        <v>1.1161429704531842</v>
      </c>
      <c r="U16" s="109"/>
    </row>
    <row r="17" spans="1:21" ht="21.95" customHeight="1">
      <c r="A17" s="94" t="s">
        <v>31</v>
      </c>
      <c r="B17" s="95" t="s">
        <v>268</v>
      </c>
      <c r="C17" s="96">
        <f t="shared" si="2"/>
        <v>5685300000</v>
      </c>
      <c r="D17" s="96"/>
      <c r="E17" s="96">
        <v>5685300000</v>
      </c>
      <c r="F17" s="96"/>
      <c r="G17" s="96">
        <f t="shared" si="3"/>
        <v>6430754248</v>
      </c>
      <c r="H17" s="96"/>
      <c r="I17" s="96"/>
      <c r="J17" s="96"/>
      <c r="K17" s="96">
        <v>6107245821</v>
      </c>
      <c r="L17" s="96">
        <v>1000000</v>
      </c>
      <c r="M17" s="96">
        <v>0</v>
      </c>
      <c r="N17" s="96">
        <f t="shared" si="4"/>
        <v>0</v>
      </c>
      <c r="O17" s="96"/>
      <c r="P17" s="96"/>
      <c r="Q17" s="96">
        <v>323508427</v>
      </c>
      <c r="R17" s="109">
        <f t="shared" si="5"/>
        <v>1.1311195975586161</v>
      </c>
      <c r="S17" s="109"/>
      <c r="T17" s="109">
        <f t="shared" si="6"/>
        <v>1.0742169843280038</v>
      </c>
      <c r="U17" s="109"/>
    </row>
    <row r="18" spans="1:21" ht="21.95" customHeight="1">
      <c r="A18" s="94" t="s">
        <v>32</v>
      </c>
      <c r="B18" s="95" t="s">
        <v>266</v>
      </c>
      <c r="C18" s="96">
        <f t="shared" si="2"/>
        <v>5491500000</v>
      </c>
      <c r="D18" s="96"/>
      <c r="E18" s="96">
        <v>5491500000</v>
      </c>
      <c r="F18" s="96"/>
      <c r="G18" s="96">
        <f t="shared" si="3"/>
        <v>6783872076</v>
      </c>
      <c r="H18" s="96"/>
      <c r="I18" s="96"/>
      <c r="J18" s="96"/>
      <c r="K18" s="96">
        <v>5839189848</v>
      </c>
      <c r="L18" s="96">
        <v>2400000</v>
      </c>
      <c r="M18" s="96">
        <v>0</v>
      </c>
      <c r="N18" s="96">
        <f t="shared" si="4"/>
        <v>0</v>
      </c>
      <c r="O18" s="96"/>
      <c r="P18" s="96"/>
      <c r="Q18" s="96">
        <v>944682228</v>
      </c>
      <c r="R18" s="109">
        <f t="shared" si="5"/>
        <v>1.2353404490576345</v>
      </c>
      <c r="S18" s="109"/>
      <c r="T18" s="109">
        <f t="shared" si="6"/>
        <v>1.0633141851953019</v>
      </c>
      <c r="U18" s="109"/>
    </row>
    <row r="19" spans="1:21" ht="21.95" customHeight="1">
      <c r="A19" s="94" t="s">
        <v>33</v>
      </c>
      <c r="B19" s="95" t="s">
        <v>272</v>
      </c>
      <c r="C19" s="96">
        <f t="shared" si="2"/>
        <v>5091700000</v>
      </c>
      <c r="D19" s="96"/>
      <c r="E19" s="96">
        <v>5091700000</v>
      </c>
      <c r="F19" s="96"/>
      <c r="G19" s="96">
        <f t="shared" si="3"/>
        <v>6359606063</v>
      </c>
      <c r="H19" s="96"/>
      <c r="I19" s="96"/>
      <c r="J19" s="96"/>
      <c r="K19" s="96">
        <v>5341441565</v>
      </c>
      <c r="L19" s="96">
        <v>7500000</v>
      </c>
      <c r="M19" s="96">
        <v>0</v>
      </c>
      <c r="N19" s="96">
        <f t="shared" si="4"/>
        <v>0</v>
      </c>
      <c r="O19" s="96"/>
      <c r="P19" s="96"/>
      <c r="Q19" s="96">
        <v>1018164498</v>
      </c>
      <c r="R19" s="109">
        <f t="shared" si="5"/>
        <v>1.2490142905120099</v>
      </c>
      <c r="S19" s="109"/>
      <c r="T19" s="109">
        <f t="shared" si="6"/>
        <v>1.0490487587642634</v>
      </c>
      <c r="U19" s="109"/>
    </row>
    <row r="20" spans="1:21" ht="21.95" customHeight="1">
      <c r="A20" s="94" t="s">
        <v>34</v>
      </c>
      <c r="B20" s="95" t="s">
        <v>270</v>
      </c>
      <c r="C20" s="96">
        <f t="shared" si="2"/>
        <v>4807800000</v>
      </c>
      <c r="D20" s="96">
        <v>5000000</v>
      </c>
      <c r="E20" s="96">
        <v>4802800000</v>
      </c>
      <c r="F20" s="96"/>
      <c r="G20" s="96">
        <f t="shared" si="3"/>
        <v>5580118939</v>
      </c>
      <c r="H20" s="96"/>
      <c r="I20" s="96"/>
      <c r="J20" s="96"/>
      <c r="K20" s="96">
        <v>5459595753</v>
      </c>
      <c r="L20" s="96">
        <v>1600000</v>
      </c>
      <c r="M20" s="96">
        <v>0</v>
      </c>
      <c r="N20" s="96">
        <f t="shared" si="4"/>
        <v>0</v>
      </c>
      <c r="O20" s="96"/>
      <c r="P20" s="96"/>
      <c r="Q20" s="96">
        <v>120523186</v>
      </c>
      <c r="R20" s="109">
        <f t="shared" si="5"/>
        <v>1.1606387410042016</v>
      </c>
      <c r="S20" s="109">
        <f t="shared" si="7"/>
        <v>0</v>
      </c>
      <c r="T20" s="109">
        <f t="shared" si="6"/>
        <v>1.1367526761472475</v>
      </c>
      <c r="U20" s="109"/>
    </row>
    <row r="21" spans="1:21" ht="21.95" customHeight="1">
      <c r="A21" s="94" t="s">
        <v>35</v>
      </c>
      <c r="B21" s="95" t="s">
        <v>273</v>
      </c>
      <c r="C21" s="96">
        <f t="shared" si="2"/>
        <v>5535500000</v>
      </c>
      <c r="D21" s="96"/>
      <c r="E21" s="96">
        <v>5535500000</v>
      </c>
      <c r="F21" s="96"/>
      <c r="G21" s="96">
        <f t="shared" si="3"/>
        <v>7091092829</v>
      </c>
      <c r="H21" s="96"/>
      <c r="I21" s="96"/>
      <c r="J21" s="96"/>
      <c r="K21" s="96">
        <v>6133905041</v>
      </c>
      <c r="L21" s="96">
        <v>7500000</v>
      </c>
      <c r="M21" s="96">
        <v>0</v>
      </c>
      <c r="N21" s="96">
        <f t="shared" si="4"/>
        <v>0</v>
      </c>
      <c r="O21" s="96"/>
      <c r="P21" s="96"/>
      <c r="Q21" s="96">
        <v>957187788</v>
      </c>
      <c r="R21" s="109">
        <f t="shared" si="5"/>
        <v>1.2810211957366091</v>
      </c>
      <c r="S21" s="109"/>
      <c r="T21" s="109">
        <f t="shared" si="6"/>
        <v>1.1081031597868305</v>
      </c>
      <c r="U21" s="109"/>
    </row>
    <row r="22" spans="1:21" ht="21.95" customHeight="1">
      <c r="A22" s="94" t="s">
        <v>36</v>
      </c>
      <c r="B22" s="95" t="s">
        <v>271</v>
      </c>
      <c r="C22" s="96">
        <f t="shared" si="2"/>
        <v>3783400000</v>
      </c>
      <c r="D22" s="96"/>
      <c r="E22" s="96">
        <v>3783400000</v>
      </c>
      <c r="F22" s="96"/>
      <c r="G22" s="96">
        <f t="shared" si="3"/>
        <v>4598060856</v>
      </c>
      <c r="H22" s="96"/>
      <c r="I22" s="96"/>
      <c r="J22" s="96"/>
      <c r="K22" s="96">
        <v>4259882015</v>
      </c>
      <c r="L22" s="96">
        <v>2400000</v>
      </c>
      <c r="M22" s="96">
        <v>0</v>
      </c>
      <c r="N22" s="96">
        <f t="shared" si="4"/>
        <v>0</v>
      </c>
      <c r="O22" s="96"/>
      <c r="P22" s="96"/>
      <c r="Q22" s="96">
        <v>338178841</v>
      </c>
      <c r="R22" s="109">
        <f t="shared" si="5"/>
        <v>1.2153250663424433</v>
      </c>
      <c r="S22" s="109"/>
      <c r="T22" s="109">
        <f t="shared" si="6"/>
        <v>1.1259401636094517</v>
      </c>
      <c r="U22" s="109"/>
    </row>
    <row r="23" spans="1:21" ht="21.95" customHeight="1">
      <c r="A23" s="102" t="s">
        <v>37</v>
      </c>
      <c r="B23" s="97" t="s">
        <v>275</v>
      </c>
      <c r="C23" s="107">
        <f t="shared" si="2"/>
        <v>5088500000</v>
      </c>
      <c r="D23" s="98">
        <v>20000000</v>
      </c>
      <c r="E23" s="98">
        <v>5068500000</v>
      </c>
      <c r="F23" s="98"/>
      <c r="G23" s="98">
        <f>H23+K23+N23+Q23</f>
        <v>6738961611</v>
      </c>
      <c r="H23" s="98">
        <v>159966941</v>
      </c>
      <c r="I23" s="98"/>
      <c r="J23" s="98"/>
      <c r="K23" s="98">
        <f>5073330841-P23</f>
        <v>5003330841</v>
      </c>
      <c r="L23" s="98">
        <v>8500000</v>
      </c>
      <c r="M23" s="98">
        <v>0</v>
      </c>
      <c r="N23" s="107">
        <f t="shared" si="4"/>
        <v>70000000</v>
      </c>
      <c r="O23" s="98"/>
      <c r="P23" s="98">
        <v>70000000</v>
      </c>
      <c r="Q23" s="98">
        <v>1505663829</v>
      </c>
      <c r="R23" s="110">
        <f t="shared" si="5"/>
        <v>1.3243513041171269</v>
      </c>
      <c r="S23" s="110">
        <f t="shared" si="7"/>
        <v>7.9983470499999996</v>
      </c>
      <c r="T23" s="110">
        <f t="shared" si="6"/>
        <v>0.98714231843740752</v>
      </c>
      <c r="U23" s="110"/>
    </row>
    <row r="24" spans="1:21" ht="8.25" customHeight="1">
      <c r="A24" s="99"/>
      <c r="B24" s="99"/>
      <c r="C24" s="100"/>
      <c r="D24" s="100"/>
      <c r="E24" s="100"/>
      <c r="F24" s="100"/>
      <c r="G24" s="100"/>
      <c r="H24" s="100"/>
      <c r="I24" s="100"/>
      <c r="J24" s="100"/>
      <c r="K24" s="100"/>
      <c r="L24" s="100"/>
      <c r="M24" s="100"/>
      <c r="N24" s="100"/>
      <c r="O24" s="100"/>
      <c r="P24" s="100"/>
      <c r="Q24" s="100"/>
      <c r="R24" s="101"/>
      <c r="S24" s="101"/>
      <c r="T24" s="101"/>
      <c r="U24" s="101"/>
    </row>
    <row r="25" spans="1:21" ht="15" customHeight="1">
      <c r="B25" s="120"/>
      <c r="C25" s="119" t="s">
        <v>546</v>
      </c>
      <c r="D25" s="120"/>
      <c r="E25" s="120"/>
      <c r="F25" s="120"/>
      <c r="G25" s="120"/>
      <c r="H25" s="120"/>
      <c r="I25" s="120"/>
      <c r="J25" s="120"/>
      <c r="K25" s="120"/>
      <c r="L25" s="120"/>
      <c r="M25" s="120"/>
      <c r="N25" s="120"/>
      <c r="O25" s="120"/>
      <c r="P25" s="120"/>
      <c r="Q25" s="120"/>
      <c r="R25" s="120"/>
      <c r="S25" s="120"/>
      <c r="T25" s="120"/>
      <c r="U25" s="120"/>
    </row>
    <row r="26" spans="1:21">
      <c r="A26" s="401" t="s">
        <v>0</v>
      </c>
      <c r="B26" s="401"/>
      <c r="C26" s="401"/>
      <c r="D26" s="401"/>
      <c r="E26" s="401"/>
      <c r="F26" s="401"/>
      <c r="G26" s="401"/>
      <c r="H26" s="401"/>
      <c r="I26" s="401"/>
      <c r="J26" s="401"/>
      <c r="K26" s="401"/>
      <c r="L26" s="401"/>
      <c r="M26" s="401"/>
      <c r="N26" s="401"/>
      <c r="O26" s="401"/>
      <c r="P26" s="401"/>
      <c r="Q26" s="401"/>
      <c r="R26" s="401"/>
      <c r="S26" s="401"/>
      <c r="T26" s="401"/>
      <c r="U26" s="401"/>
    </row>
    <row r="27" spans="1:21">
      <c r="A27" s="401" t="s">
        <v>0</v>
      </c>
      <c r="B27" s="401"/>
      <c r="C27" s="401"/>
      <c r="D27" s="401"/>
      <c r="E27" s="401"/>
      <c r="F27" s="401"/>
      <c r="G27" s="401"/>
      <c r="H27" s="401"/>
      <c r="I27" s="401"/>
      <c r="J27" s="401"/>
      <c r="K27" s="401"/>
      <c r="L27" s="401"/>
      <c r="M27" s="401"/>
      <c r="N27" s="401"/>
      <c r="O27" s="401"/>
      <c r="P27" s="401"/>
      <c r="Q27" s="401"/>
      <c r="R27" s="401"/>
      <c r="S27" s="401"/>
      <c r="T27" s="401"/>
      <c r="U27" s="401"/>
    </row>
  </sheetData>
  <mergeCells count="32">
    <mergeCell ref="K6:Q6"/>
    <mergeCell ref="A26:U26"/>
    <mergeCell ref="A27:U27"/>
    <mergeCell ref="U7:U9"/>
    <mergeCell ref="H8:H9"/>
    <mergeCell ref="I8:J8"/>
    <mergeCell ref="K8:K9"/>
    <mergeCell ref="L8:M8"/>
    <mergeCell ref="N8:N9"/>
    <mergeCell ref="O8:P8"/>
    <mergeCell ref="R7:R9"/>
    <mergeCell ref="A6:A9"/>
    <mergeCell ref="B6:B9"/>
    <mergeCell ref="C6:F6"/>
    <mergeCell ref="R6:U6"/>
    <mergeCell ref="G6:J6"/>
    <mergeCell ref="L2:U2"/>
    <mergeCell ref="L3:U3"/>
    <mergeCell ref="T7:T9"/>
    <mergeCell ref="S4:U5"/>
    <mergeCell ref="C2:J2"/>
    <mergeCell ref="C3:J3"/>
    <mergeCell ref="H7:J7"/>
    <mergeCell ref="K7:M7"/>
    <mergeCell ref="N7:P7"/>
    <mergeCell ref="Q7:Q9"/>
    <mergeCell ref="S7:S9"/>
    <mergeCell ref="C7:C9"/>
    <mergeCell ref="D7:D9"/>
    <mergeCell ref="E7:E9"/>
    <mergeCell ref="F7:F9"/>
    <mergeCell ref="G7:G9"/>
  </mergeCells>
  <pageMargins left="0.76" right="0.16" top="0.65" bottom="0.55000000000000004" header="0.28000000000000003" footer="0.2"/>
  <pageSetup paperSize="9" scale="95" orientation="landscape" verticalDpi="0" r:id="rId1"/>
  <headerFoot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showZeros="0" view="pageBreakPreview" zoomScale="40" zoomScaleNormal="100" zoomScaleSheetLayoutView="40" workbookViewId="0">
      <selection activeCell="G19" sqref="G19"/>
    </sheetView>
  </sheetViews>
  <sheetFormatPr defaultRowHeight="15"/>
  <cols>
    <col min="1" max="1" width="5.28515625" style="112" customWidth="1"/>
    <col min="2" max="2" width="21.5703125" style="112" customWidth="1"/>
    <col min="3" max="3" width="16.140625" style="112" customWidth="1"/>
    <col min="4" max="4" width="16.28515625" style="112" customWidth="1"/>
    <col min="5" max="5" width="15.140625" style="112" customWidth="1"/>
    <col min="6" max="6" width="5.42578125" style="112" customWidth="1"/>
    <col min="7" max="7" width="15.140625" style="112" customWidth="1"/>
    <col min="8" max="8" width="9.85546875" style="112" customWidth="1"/>
    <col min="9" max="9" width="15.5703125" style="112" customWidth="1"/>
    <col min="10" max="10" width="10.7109375" style="112" customWidth="1"/>
    <col min="11" max="11" width="16" style="112" customWidth="1"/>
    <col min="12" max="12" width="17" style="112" customWidth="1"/>
    <col min="13" max="13" width="15.42578125" style="112" bestFit="1" customWidth="1"/>
    <col min="14" max="14" width="4.42578125" style="112" customWidth="1"/>
    <col min="15" max="15" width="15.28515625" style="112" customWidth="1"/>
    <col min="16" max="16" width="9.7109375" style="112" customWidth="1"/>
    <col min="17" max="17" width="15.42578125" style="112" customWidth="1"/>
    <col min="18" max="18" width="13.28515625" style="112" customWidth="1"/>
    <col min="19" max="19" width="9.85546875" style="112" customWidth="1"/>
    <col min="20" max="20" width="10" style="112" customWidth="1"/>
    <col min="21" max="21" width="9.140625" style="112" customWidth="1"/>
    <col min="22" max="22" width="4.85546875" style="112" customWidth="1"/>
    <col min="23" max="23" width="10" style="112" customWidth="1"/>
    <col min="24" max="24" width="7.5703125" style="112" customWidth="1"/>
    <col min="25" max="25" width="10" style="112" customWidth="1"/>
    <col min="26" max="26" width="9" style="112" customWidth="1"/>
    <col min="27" max="16384" width="9.140625" style="112"/>
  </cols>
  <sheetData>
    <row r="1" spans="1:26" s="213" customFormat="1" ht="16.5">
      <c r="A1" s="346" t="s">
        <v>113</v>
      </c>
      <c r="B1" s="212"/>
      <c r="C1" s="212"/>
      <c r="D1" s="212"/>
      <c r="E1" s="212"/>
      <c r="F1" s="212"/>
      <c r="G1" s="212"/>
      <c r="H1" s="212"/>
      <c r="I1" s="212"/>
      <c r="J1" s="212"/>
      <c r="K1" s="212"/>
      <c r="L1" s="212"/>
      <c r="M1" s="212"/>
      <c r="N1" s="212"/>
      <c r="O1" s="212"/>
      <c r="P1" s="212"/>
      <c r="Q1" s="212"/>
      <c r="R1" s="212"/>
      <c r="S1" s="212"/>
      <c r="T1" s="212"/>
      <c r="U1" s="212"/>
      <c r="V1" s="212"/>
      <c r="W1" s="212"/>
      <c r="X1" s="212"/>
      <c r="Y1" s="212"/>
    </row>
    <row r="2" spans="1:26" s="213" customFormat="1" ht="15" customHeight="1">
      <c r="B2" s="214"/>
      <c r="C2" s="214"/>
      <c r="D2" s="214"/>
      <c r="E2" s="214"/>
      <c r="F2" s="214"/>
      <c r="G2" s="214"/>
      <c r="H2" s="214"/>
      <c r="I2" s="214"/>
      <c r="J2" s="214"/>
      <c r="K2" s="214"/>
      <c r="L2" s="214"/>
      <c r="M2" s="214"/>
      <c r="N2" s="214"/>
      <c r="O2" s="214"/>
      <c r="P2" s="214"/>
      <c r="Q2" s="214"/>
      <c r="R2" s="214"/>
      <c r="S2" s="214"/>
      <c r="T2" s="214"/>
      <c r="U2" s="214"/>
      <c r="V2" s="214"/>
      <c r="W2" s="214"/>
      <c r="X2" s="214"/>
      <c r="Y2" s="214"/>
      <c r="Z2" s="214"/>
    </row>
    <row r="3" spans="1:26" s="213" customFormat="1" ht="18.75">
      <c r="B3" s="214"/>
      <c r="C3" s="403" t="s">
        <v>550</v>
      </c>
      <c r="D3" s="403"/>
      <c r="E3" s="403"/>
      <c r="F3" s="403"/>
      <c r="G3" s="403"/>
      <c r="H3" s="403"/>
      <c r="I3" s="403"/>
      <c r="J3" s="403"/>
      <c r="K3" s="403"/>
      <c r="L3" s="403"/>
      <c r="M3" s="215"/>
      <c r="N3" s="214"/>
      <c r="O3" s="214"/>
      <c r="P3" s="214"/>
      <c r="Q3" s="214"/>
      <c r="R3" s="214"/>
      <c r="S3" s="214"/>
      <c r="T3" s="214"/>
      <c r="U3" s="214"/>
      <c r="V3" s="214"/>
      <c r="W3" s="214"/>
      <c r="X3" s="214"/>
      <c r="Y3" s="214"/>
      <c r="Z3" s="214"/>
    </row>
    <row r="4" spans="1:26" s="213" customFormat="1" ht="18.75">
      <c r="B4" s="214"/>
      <c r="C4" s="404" t="s">
        <v>549</v>
      </c>
      <c r="D4" s="404"/>
      <c r="E4" s="404"/>
      <c r="F4" s="404"/>
      <c r="G4" s="404"/>
      <c r="H4" s="404"/>
      <c r="I4" s="404"/>
      <c r="J4" s="404"/>
      <c r="K4" s="404"/>
      <c r="L4" s="404"/>
      <c r="M4" s="215"/>
      <c r="N4" s="214"/>
      <c r="O4" s="214"/>
      <c r="P4" s="214"/>
      <c r="Q4" s="214"/>
      <c r="R4" s="214"/>
      <c r="S4" s="214"/>
      <c r="T4" s="214"/>
      <c r="U4" s="214"/>
      <c r="V4" s="214"/>
      <c r="W4" s="214"/>
      <c r="X4" s="214"/>
      <c r="Y4" s="214"/>
      <c r="Z4" s="214"/>
    </row>
    <row r="5" spans="1:26" s="213" customFormat="1">
      <c r="A5" s="406" t="s">
        <v>114</v>
      </c>
      <c r="B5" s="406"/>
      <c r="C5" s="406"/>
      <c r="D5" s="406"/>
      <c r="E5" s="406"/>
      <c r="F5" s="406"/>
      <c r="G5" s="406"/>
      <c r="H5" s="406"/>
      <c r="I5" s="406"/>
      <c r="J5" s="406"/>
      <c r="K5" s="406"/>
      <c r="L5" s="406"/>
      <c r="M5" s="406"/>
      <c r="N5" s="406"/>
      <c r="O5" s="406"/>
      <c r="P5" s="406"/>
      <c r="Q5" s="406"/>
      <c r="R5" s="406"/>
      <c r="S5" s="406"/>
      <c r="T5" s="406"/>
      <c r="U5" s="406"/>
      <c r="V5" s="406"/>
      <c r="W5" s="406"/>
      <c r="X5" s="406"/>
      <c r="Y5" s="406"/>
      <c r="Z5" s="406"/>
    </row>
    <row r="6" spans="1:26" ht="21" customHeight="1">
      <c r="A6" s="395" t="s">
        <v>2</v>
      </c>
      <c r="B6" s="395" t="s">
        <v>107</v>
      </c>
      <c r="C6" s="395" t="s">
        <v>422</v>
      </c>
      <c r="D6" s="395"/>
      <c r="E6" s="395"/>
      <c r="F6" s="395"/>
      <c r="G6" s="395"/>
      <c r="H6" s="395"/>
      <c r="I6" s="395"/>
      <c r="J6" s="395"/>
      <c r="K6" s="407" t="s">
        <v>5</v>
      </c>
      <c r="L6" s="408"/>
      <c r="M6" s="407" t="s">
        <v>5</v>
      </c>
      <c r="N6" s="409"/>
      <c r="O6" s="409"/>
      <c r="P6" s="409"/>
      <c r="Q6" s="409"/>
      <c r="R6" s="408"/>
      <c r="S6" s="395" t="s">
        <v>115</v>
      </c>
      <c r="T6" s="395"/>
      <c r="U6" s="395"/>
      <c r="V6" s="395"/>
      <c r="W6" s="395"/>
      <c r="X6" s="395"/>
      <c r="Y6" s="395"/>
      <c r="Z6" s="395"/>
    </row>
    <row r="7" spans="1:26" ht="21" customHeight="1">
      <c r="A7" s="395"/>
      <c r="B7" s="395"/>
      <c r="C7" s="395" t="s">
        <v>68</v>
      </c>
      <c r="D7" s="395" t="s">
        <v>116</v>
      </c>
      <c r="E7" s="395" t="s">
        <v>117</v>
      </c>
      <c r="F7" s="395"/>
      <c r="G7" s="395"/>
      <c r="H7" s="395"/>
      <c r="I7" s="395"/>
      <c r="J7" s="395"/>
      <c r="K7" s="395" t="s">
        <v>68</v>
      </c>
      <c r="L7" s="395" t="s">
        <v>116</v>
      </c>
      <c r="M7" s="395" t="s">
        <v>117</v>
      </c>
      <c r="N7" s="395"/>
      <c r="O7" s="395"/>
      <c r="P7" s="395"/>
      <c r="Q7" s="395"/>
      <c r="R7" s="395"/>
      <c r="S7" s="395" t="s">
        <v>68</v>
      </c>
      <c r="T7" s="395" t="s">
        <v>116</v>
      </c>
      <c r="U7" s="395" t="s">
        <v>117</v>
      </c>
      <c r="V7" s="395"/>
      <c r="W7" s="395"/>
      <c r="X7" s="395"/>
      <c r="Y7" s="395"/>
      <c r="Z7" s="395"/>
    </row>
    <row r="8" spans="1:26" ht="21" customHeight="1">
      <c r="A8" s="395"/>
      <c r="B8" s="395"/>
      <c r="C8" s="395"/>
      <c r="D8" s="395"/>
      <c r="E8" s="395" t="s">
        <v>68</v>
      </c>
      <c r="F8" s="395" t="s">
        <v>118</v>
      </c>
      <c r="G8" s="395"/>
      <c r="H8" s="405" t="s">
        <v>119</v>
      </c>
      <c r="I8" s="395" t="s">
        <v>120</v>
      </c>
      <c r="J8" s="395" t="s">
        <v>121</v>
      </c>
      <c r="K8" s="395"/>
      <c r="L8" s="395"/>
      <c r="M8" s="395" t="s">
        <v>68</v>
      </c>
      <c r="N8" s="395" t="s">
        <v>118</v>
      </c>
      <c r="O8" s="395"/>
      <c r="P8" s="405" t="s">
        <v>119</v>
      </c>
      <c r="Q8" s="395" t="s">
        <v>120</v>
      </c>
      <c r="R8" s="395" t="s">
        <v>121</v>
      </c>
      <c r="S8" s="395"/>
      <c r="T8" s="395"/>
      <c r="U8" s="395" t="s">
        <v>68</v>
      </c>
      <c r="V8" s="395" t="s">
        <v>118</v>
      </c>
      <c r="W8" s="395"/>
      <c r="X8" s="405" t="s">
        <v>119</v>
      </c>
      <c r="Y8" s="395" t="s">
        <v>120</v>
      </c>
      <c r="Z8" s="395" t="s">
        <v>121</v>
      </c>
    </row>
    <row r="9" spans="1:26" ht="109.5" customHeight="1">
      <c r="A9" s="395"/>
      <c r="B9" s="395"/>
      <c r="C9" s="395"/>
      <c r="D9" s="395"/>
      <c r="E9" s="395"/>
      <c r="F9" s="115" t="s">
        <v>122</v>
      </c>
      <c r="G9" s="93" t="s">
        <v>123</v>
      </c>
      <c r="H9" s="405"/>
      <c r="I9" s="395"/>
      <c r="J9" s="395"/>
      <c r="K9" s="395"/>
      <c r="L9" s="395"/>
      <c r="M9" s="395"/>
      <c r="N9" s="115" t="s">
        <v>122</v>
      </c>
      <c r="O9" s="93" t="s">
        <v>123</v>
      </c>
      <c r="P9" s="405"/>
      <c r="Q9" s="395"/>
      <c r="R9" s="395"/>
      <c r="S9" s="395"/>
      <c r="T9" s="395"/>
      <c r="U9" s="395"/>
      <c r="V9" s="115" t="s">
        <v>122</v>
      </c>
      <c r="W9" s="93" t="s">
        <v>123</v>
      </c>
      <c r="X9" s="405"/>
      <c r="Y9" s="395"/>
      <c r="Z9" s="395"/>
    </row>
    <row r="10" spans="1:26" ht="45">
      <c r="A10" s="93" t="s">
        <v>7</v>
      </c>
      <c r="B10" s="93" t="s">
        <v>24</v>
      </c>
      <c r="C10" s="93" t="s">
        <v>11</v>
      </c>
      <c r="D10" s="93" t="s">
        <v>19</v>
      </c>
      <c r="E10" s="93" t="s">
        <v>124</v>
      </c>
      <c r="F10" s="93" t="s">
        <v>29</v>
      </c>
      <c r="G10" s="93" t="s">
        <v>30</v>
      </c>
      <c r="H10" s="93" t="s">
        <v>31</v>
      </c>
      <c r="I10" s="93" t="s">
        <v>32</v>
      </c>
      <c r="J10" s="93" t="s">
        <v>33</v>
      </c>
      <c r="K10" s="93" t="s">
        <v>34</v>
      </c>
      <c r="L10" s="93" t="s">
        <v>35</v>
      </c>
      <c r="M10" s="93" t="s">
        <v>125</v>
      </c>
      <c r="N10" s="93" t="s">
        <v>37</v>
      </c>
      <c r="O10" s="93" t="s">
        <v>38</v>
      </c>
      <c r="P10" s="93" t="s">
        <v>39</v>
      </c>
      <c r="Q10" s="93" t="s">
        <v>40</v>
      </c>
      <c r="R10" s="93" t="s">
        <v>41</v>
      </c>
      <c r="S10" s="93" t="s">
        <v>126</v>
      </c>
      <c r="T10" s="93" t="s">
        <v>127</v>
      </c>
      <c r="U10" s="93" t="s">
        <v>128</v>
      </c>
      <c r="V10" s="93" t="s">
        <v>129</v>
      </c>
      <c r="W10" s="93" t="s">
        <v>130</v>
      </c>
      <c r="X10" s="93" t="s">
        <v>131</v>
      </c>
      <c r="Y10" s="93" t="s">
        <v>132</v>
      </c>
      <c r="Z10" s="93" t="s">
        <v>133</v>
      </c>
    </row>
    <row r="11" spans="1:26" s="111" customFormat="1" ht="21.95" customHeight="1">
      <c r="A11" s="106"/>
      <c r="B11" s="104" t="s">
        <v>105</v>
      </c>
      <c r="C11" s="105">
        <f>SUM(C12:C23)</f>
        <v>60691900000</v>
      </c>
      <c r="D11" s="105">
        <f t="shared" ref="D11:R11" si="0">SUM(D12:D23)</f>
        <v>56221900000</v>
      </c>
      <c r="E11" s="105">
        <f t="shared" si="0"/>
        <v>4470000000</v>
      </c>
      <c r="F11" s="105">
        <f t="shared" si="0"/>
        <v>0</v>
      </c>
      <c r="G11" s="105">
        <f t="shared" si="0"/>
        <v>4470000000</v>
      </c>
      <c r="H11" s="105">
        <f t="shared" si="0"/>
        <v>0</v>
      </c>
      <c r="I11" s="105">
        <f t="shared" si="0"/>
        <v>4470000000</v>
      </c>
      <c r="J11" s="105">
        <f t="shared" si="0"/>
        <v>0</v>
      </c>
      <c r="K11" s="105">
        <f t="shared" si="0"/>
        <v>69006363157</v>
      </c>
      <c r="L11" s="105">
        <f t="shared" si="0"/>
        <v>56852451000</v>
      </c>
      <c r="M11" s="105">
        <f t="shared" si="0"/>
        <v>12153912157</v>
      </c>
      <c r="N11" s="105">
        <f t="shared" si="0"/>
        <v>0</v>
      </c>
      <c r="O11" s="105">
        <f t="shared" si="0"/>
        <v>12153912157</v>
      </c>
      <c r="P11" s="105">
        <f t="shared" si="0"/>
        <v>0</v>
      </c>
      <c r="Q11" s="105">
        <f t="shared" si="0"/>
        <v>11941912157</v>
      </c>
      <c r="R11" s="105">
        <f t="shared" si="0"/>
        <v>212000000</v>
      </c>
      <c r="S11" s="116">
        <f t="shared" ref="S11:U12" si="1">K11/C11</f>
        <v>1.1369946097749453</v>
      </c>
      <c r="T11" s="116">
        <f t="shared" si="1"/>
        <v>1.0112153982700691</v>
      </c>
      <c r="U11" s="116">
        <f t="shared" si="1"/>
        <v>2.7189960082774047</v>
      </c>
      <c r="V11" s="116"/>
      <c r="W11" s="116">
        <f>O11/G11</f>
        <v>2.7189960082774047</v>
      </c>
      <c r="X11" s="116"/>
      <c r="Y11" s="116">
        <f>Q11/I11</f>
        <v>2.671568715212528</v>
      </c>
      <c r="Z11" s="116"/>
    </row>
    <row r="12" spans="1:26" ht="21.95" customHeight="1">
      <c r="A12" s="94" t="s">
        <v>11</v>
      </c>
      <c r="B12" s="95" t="s">
        <v>419</v>
      </c>
      <c r="C12" s="96">
        <f>D12+E12</f>
        <v>4804000000</v>
      </c>
      <c r="D12" s="96">
        <v>4275500000</v>
      </c>
      <c r="E12" s="96">
        <f>F12+G12</f>
        <v>528500000</v>
      </c>
      <c r="F12" s="96"/>
      <c r="G12" s="96">
        <f>H12+I12+J12</f>
        <v>528500000</v>
      </c>
      <c r="H12" s="96"/>
      <c r="I12" s="96">
        <v>528500000</v>
      </c>
      <c r="J12" s="96"/>
      <c r="K12" s="96">
        <f t="shared" ref="K12:K23" si="2">L12+M12</f>
        <v>5318136200</v>
      </c>
      <c r="L12" s="96">
        <v>4331951000</v>
      </c>
      <c r="M12" s="96">
        <f>N12+O12</f>
        <v>986185200</v>
      </c>
      <c r="N12" s="96"/>
      <c r="O12" s="96">
        <f>P12+Q12+R12</f>
        <v>986185200</v>
      </c>
      <c r="P12" s="96"/>
      <c r="Q12" s="96">
        <v>986185200</v>
      </c>
      <c r="R12" s="96"/>
      <c r="S12" s="113">
        <f t="shared" si="1"/>
        <v>1.1070225228975854</v>
      </c>
      <c r="T12" s="113">
        <f t="shared" si="1"/>
        <v>1.0132033680271313</v>
      </c>
      <c r="U12" s="113">
        <f t="shared" si="1"/>
        <v>1.8660079470198676</v>
      </c>
      <c r="V12" s="113"/>
      <c r="W12" s="113">
        <f>O12/G12</f>
        <v>1.8660079470198676</v>
      </c>
      <c r="X12" s="113"/>
      <c r="Y12" s="113">
        <f>Q12/I12</f>
        <v>1.8660079470198676</v>
      </c>
      <c r="Z12" s="113"/>
    </row>
    <row r="13" spans="1:26" ht="21.95" customHeight="1">
      <c r="A13" s="94" t="s">
        <v>19</v>
      </c>
      <c r="B13" s="95" t="s">
        <v>267</v>
      </c>
      <c r="C13" s="96">
        <f t="shared" ref="C13:C23" si="3">D13+E13</f>
        <v>3703500000</v>
      </c>
      <c r="D13" s="96">
        <v>3517000000</v>
      </c>
      <c r="E13" s="96">
        <f t="shared" ref="E13:E23" si="4">F13+G13</f>
        <v>186500000</v>
      </c>
      <c r="F13" s="96"/>
      <c r="G13" s="96">
        <f t="shared" ref="G13:G23" si="5">H13+I13+J13</f>
        <v>186500000</v>
      </c>
      <c r="H13" s="96"/>
      <c r="I13" s="96">
        <v>186500000</v>
      </c>
      <c r="J13" s="96"/>
      <c r="K13" s="96">
        <f t="shared" si="2"/>
        <v>4107131300</v>
      </c>
      <c r="L13" s="96">
        <v>3517000000</v>
      </c>
      <c r="M13" s="96">
        <f t="shared" ref="M13:M23" si="6">N13+O13</f>
        <v>590131300</v>
      </c>
      <c r="N13" s="96"/>
      <c r="O13" s="96">
        <f t="shared" ref="O13" si="7">P13+Q13+R13</f>
        <v>590131300</v>
      </c>
      <c r="P13" s="96"/>
      <c r="Q13" s="96">
        <v>590131300</v>
      </c>
      <c r="R13" s="96"/>
      <c r="S13" s="113">
        <f t="shared" ref="S13:S23" si="8">K13/C13</f>
        <v>1.1089864452544891</v>
      </c>
      <c r="T13" s="113">
        <f t="shared" ref="T13:T23" si="9">L13/D13</f>
        <v>1</v>
      </c>
      <c r="U13" s="113">
        <f t="shared" ref="U13:U23" si="10">M13/E13</f>
        <v>3.1642428954423591</v>
      </c>
      <c r="V13" s="113"/>
      <c r="W13" s="113">
        <f t="shared" ref="W13:W23" si="11">O13/G13</f>
        <v>3.1642428954423591</v>
      </c>
      <c r="X13" s="113"/>
      <c r="Y13" s="113">
        <f t="shared" ref="Y13:Y23" si="12">Q13/I13</f>
        <v>3.1642428954423591</v>
      </c>
      <c r="Z13" s="113"/>
    </row>
    <row r="14" spans="1:26" ht="21.95" customHeight="1">
      <c r="A14" s="94" t="s">
        <v>28</v>
      </c>
      <c r="B14" s="95" t="s">
        <v>274</v>
      </c>
      <c r="C14" s="96">
        <f t="shared" si="3"/>
        <v>6972900000</v>
      </c>
      <c r="D14" s="96">
        <v>6208400000</v>
      </c>
      <c r="E14" s="96">
        <f t="shared" si="4"/>
        <v>764500000</v>
      </c>
      <c r="F14" s="96"/>
      <c r="G14" s="96">
        <f t="shared" si="5"/>
        <v>764500000</v>
      </c>
      <c r="H14" s="96"/>
      <c r="I14" s="96">
        <v>764500000</v>
      </c>
      <c r="J14" s="96"/>
      <c r="K14" s="96">
        <f t="shared" si="2"/>
        <v>7357099900</v>
      </c>
      <c r="L14" s="96">
        <v>6208400000</v>
      </c>
      <c r="M14" s="96">
        <f t="shared" si="6"/>
        <v>1148699900</v>
      </c>
      <c r="N14" s="96"/>
      <c r="O14" s="96">
        <f>P14+Q14+R14</f>
        <v>1148699900</v>
      </c>
      <c r="P14" s="96"/>
      <c r="Q14" s="96">
        <v>1148699900</v>
      </c>
      <c r="R14" s="96"/>
      <c r="S14" s="113">
        <f t="shared" si="8"/>
        <v>1.0550990118888841</v>
      </c>
      <c r="T14" s="113">
        <f t="shared" si="9"/>
        <v>1</v>
      </c>
      <c r="U14" s="113">
        <f t="shared" si="10"/>
        <v>1.5025505559189012</v>
      </c>
      <c r="V14" s="113"/>
      <c r="W14" s="113">
        <f t="shared" si="11"/>
        <v>1.5025505559189012</v>
      </c>
      <c r="X14" s="113"/>
      <c r="Y14" s="113">
        <f t="shared" si="12"/>
        <v>1.5025505559189012</v>
      </c>
      <c r="Z14" s="113"/>
    </row>
    <row r="15" spans="1:26" ht="21.95" customHeight="1">
      <c r="A15" s="94" t="s">
        <v>29</v>
      </c>
      <c r="B15" s="95" t="s">
        <v>265</v>
      </c>
      <c r="C15" s="96">
        <f>D15+E15</f>
        <v>5084300000</v>
      </c>
      <c r="D15" s="96">
        <v>4441800000</v>
      </c>
      <c r="E15" s="96">
        <f t="shared" si="4"/>
        <v>642500000</v>
      </c>
      <c r="F15" s="96"/>
      <c r="G15" s="96">
        <f t="shared" si="5"/>
        <v>642500000</v>
      </c>
      <c r="H15" s="96"/>
      <c r="I15" s="96">
        <v>642500000</v>
      </c>
      <c r="J15" s="96"/>
      <c r="K15" s="96">
        <f>L15+M15</f>
        <v>6453784202</v>
      </c>
      <c r="L15" s="96">
        <v>4894630000</v>
      </c>
      <c r="M15" s="96">
        <f t="shared" si="6"/>
        <v>1559154202</v>
      </c>
      <c r="N15" s="96"/>
      <c r="O15" s="96">
        <f t="shared" ref="O15:O22" si="13">P15+Q15+R15</f>
        <v>1559154202</v>
      </c>
      <c r="P15" s="96"/>
      <c r="Q15" s="96">
        <v>1559154202</v>
      </c>
      <c r="R15" s="96"/>
      <c r="S15" s="113">
        <f t="shared" si="8"/>
        <v>1.2693555065594084</v>
      </c>
      <c r="T15" s="113">
        <f t="shared" si="9"/>
        <v>1.1019474087081813</v>
      </c>
      <c r="U15" s="113">
        <f t="shared" si="10"/>
        <v>2.4266991470817119</v>
      </c>
      <c r="V15" s="113"/>
      <c r="W15" s="113">
        <f t="shared" si="11"/>
        <v>2.4266991470817119</v>
      </c>
      <c r="X15" s="113"/>
      <c r="Y15" s="113">
        <f t="shared" si="12"/>
        <v>2.4266991470817119</v>
      </c>
      <c r="Z15" s="113"/>
    </row>
    <row r="16" spans="1:26" ht="21.95" customHeight="1">
      <c r="A16" s="94" t="s">
        <v>30</v>
      </c>
      <c r="B16" s="95" t="s">
        <v>269</v>
      </c>
      <c r="C16" s="96">
        <f t="shared" si="3"/>
        <v>4853000000</v>
      </c>
      <c r="D16" s="96">
        <v>4595500000</v>
      </c>
      <c r="E16" s="96">
        <f t="shared" si="4"/>
        <v>257500000</v>
      </c>
      <c r="F16" s="96"/>
      <c r="G16" s="96">
        <f t="shared" si="5"/>
        <v>257500000</v>
      </c>
      <c r="H16" s="96"/>
      <c r="I16" s="96">
        <v>257500000</v>
      </c>
      <c r="J16" s="96"/>
      <c r="K16" s="96">
        <f t="shared" si="2"/>
        <v>5826809595</v>
      </c>
      <c r="L16" s="96">
        <v>4595500000</v>
      </c>
      <c r="M16" s="96">
        <f t="shared" si="6"/>
        <v>1231309595</v>
      </c>
      <c r="N16" s="96"/>
      <c r="O16" s="96">
        <f t="shared" si="13"/>
        <v>1231309595</v>
      </c>
      <c r="P16" s="96"/>
      <c r="Q16" s="96">
        <f>1231309595-R16</f>
        <v>1089309595</v>
      </c>
      <c r="R16" s="96">
        <v>142000000</v>
      </c>
      <c r="S16" s="113">
        <f t="shared" si="8"/>
        <v>1.200661363074387</v>
      </c>
      <c r="T16" s="113">
        <f t="shared" si="9"/>
        <v>1</v>
      </c>
      <c r="U16" s="113">
        <f t="shared" si="10"/>
        <v>4.7817848349514565</v>
      </c>
      <c r="V16" s="113"/>
      <c r="W16" s="113">
        <f t="shared" si="11"/>
        <v>4.7817848349514565</v>
      </c>
      <c r="X16" s="113"/>
      <c r="Y16" s="113">
        <f t="shared" si="12"/>
        <v>4.2303285242718447</v>
      </c>
      <c r="Z16" s="113"/>
    </row>
    <row r="17" spans="1:26" ht="21.95" customHeight="1">
      <c r="A17" s="94" t="s">
        <v>31</v>
      </c>
      <c r="B17" s="95" t="s">
        <v>268</v>
      </c>
      <c r="C17" s="96">
        <f t="shared" si="3"/>
        <v>5670300000</v>
      </c>
      <c r="D17" s="96">
        <v>5443800000</v>
      </c>
      <c r="E17" s="96">
        <f t="shared" si="4"/>
        <v>226500000</v>
      </c>
      <c r="F17" s="96"/>
      <c r="G17" s="96">
        <f t="shared" si="5"/>
        <v>226500000</v>
      </c>
      <c r="H17" s="96"/>
      <c r="I17" s="96">
        <v>226500000</v>
      </c>
      <c r="J17" s="96"/>
      <c r="K17" s="96">
        <f t="shared" si="2"/>
        <v>6172234400</v>
      </c>
      <c r="L17" s="96">
        <v>5443680000</v>
      </c>
      <c r="M17" s="96">
        <f t="shared" si="6"/>
        <v>728554400</v>
      </c>
      <c r="N17" s="96"/>
      <c r="O17" s="96">
        <f t="shared" si="13"/>
        <v>728554400</v>
      </c>
      <c r="P17" s="96"/>
      <c r="Q17" s="96">
        <v>728554400</v>
      </c>
      <c r="R17" s="96"/>
      <c r="S17" s="113">
        <f t="shared" si="8"/>
        <v>1.0885199019452234</v>
      </c>
      <c r="T17" s="113">
        <f t="shared" si="9"/>
        <v>0.99997795657445165</v>
      </c>
      <c r="U17" s="113">
        <f t="shared" si="10"/>
        <v>3.2165757174392935</v>
      </c>
      <c r="V17" s="113"/>
      <c r="W17" s="113">
        <f t="shared" si="11"/>
        <v>3.2165757174392935</v>
      </c>
      <c r="X17" s="113"/>
      <c r="Y17" s="113">
        <f t="shared" si="12"/>
        <v>3.2165757174392935</v>
      </c>
      <c r="Z17" s="113"/>
    </row>
    <row r="18" spans="1:26" ht="21.95" customHeight="1">
      <c r="A18" s="94" t="s">
        <v>32</v>
      </c>
      <c r="B18" s="95" t="s">
        <v>266</v>
      </c>
      <c r="C18" s="96">
        <f t="shared" si="3"/>
        <v>5478500000</v>
      </c>
      <c r="D18" s="96">
        <v>5118000000</v>
      </c>
      <c r="E18" s="96">
        <f t="shared" si="4"/>
        <v>360500000</v>
      </c>
      <c r="F18" s="96"/>
      <c r="G18" s="96">
        <f t="shared" si="5"/>
        <v>360500000</v>
      </c>
      <c r="H18" s="96"/>
      <c r="I18" s="96">
        <v>360500000</v>
      </c>
      <c r="J18" s="96"/>
      <c r="K18" s="96">
        <f t="shared" si="2"/>
        <v>6171498625</v>
      </c>
      <c r="L18" s="96">
        <v>5175700000</v>
      </c>
      <c r="M18" s="96">
        <f t="shared" si="6"/>
        <v>995798625</v>
      </c>
      <c r="N18" s="96"/>
      <c r="O18" s="96">
        <f t="shared" si="13"/>
        <v>995798625</v>
      </c>
      <c r="P18" s="96"/>
      <c r="Q18" s="96">
        <v>995798625</v>
      </c>
      <c r="R18" s="96"/>
      <c r="S18" s="113">
        <f t="shared" si="8"/>
        <v>1.1264942274345167</v>
      </c>
      <c r="T18" s="113">
        <f t="shared" si="9"/>
        <v>1.0112739351309106</v>
      </c>
      <c r="U18" s="113">
        <f t="shared" si="10"/>
        <v>2.76227080443828</v>
      </c>
      <c r="V18" s="113"/>
      <c r="W18" s="113">
        <f>O18/G18</f>
        <v>2.76227080443828</v>
      </c>
      <c r="X18" s="113"/>
      <c r="Y18" s="113">
        <f t="shared" si="12"/>
        <v>2.76227080443828</v>
      </c>
      <c r="Z18" s="113"/>
    </row>
    <row r="19" spans="1:26" ht="21.95" customHeight="1">
      <c r="A19" s="94" t="s">
        <v>33</v>
      </c>
      <c r="B19" s="95" t="s">
        <v>272</v>
      </c>
      <c r="C19" s="96">
        <f t="shared" si="3"/>
        <v>5077700000</v>
      </c>
      <c r="D19" s="96">
        <v>4857200000</v>
      </c>
      <c r="E19" s="96">
        <f t="shared" si="4"/>
        <v>220500000</v>
      </c>
      <c r="F19" s="96"/>
      <c r="G19" s="96">
        <f t="shared" si="5"/>
        <v>220500000</v>
      </c>
      <c r="H19" s="96"/>
      <c r="I19" s="96">
        <v>220500000</v>
      </c>
      <c r="J19" s="96"/>
      <c r="K19" s="96">
        <f t="shared" si="2"/>
        <v>5820711104</v>
      </c>
      <c r="L19" s="96">
        <v>4857200000</v>
      </c>
      <c r="M19" s="96">
        <f t="shared" si="6"/>
        <v>963511104</v>
      </c>
      <c r="N19" s="96"/>
      <c r="O19" s="96">
        <f t="shared" si="13"/>
        <v>963511104</v>
      </c>
      <c r="P19" s="96"/>
      <c r="Q19" s="96">
        <v>963511104</v>
      </c>
      <c r="R19" s="96"/>
      <c r="S19" s="113">
        <f t="shared" si="8"/>
        <v>1.1463282793390708</v>
      </c>
      <c r="T19" s="113">
        <f t="shared" si="9"/>
        <v>1</v>
      </c>
      <c r="U19" s="113">
        <f t="shared" si="10"/>
        <v>4.3696648707482995</v>
      </c>
      <c r="V19" s="113"/>
      <c r="W19" s="113">
        <f t="shared" si="11"/>
        <v>4.3696648707482995</v>
      </c>
      <c r="X19" s="113"/>
      <c r="Y19" s="113">
        <f t="shared" si="12"/>
        <v>4.3696648707482995</v>
      </c>
      <c r="Z19" s="113"/>
    </row>
    <row r="20" spans="1:26" ht="21.95" customHeight="1">
      <c r="A20" s="94" t="s">
        <v>34</v>
      </c>
      <c r="B20" s="95" t="s">
        <v>270</v>
      </c>
      <c r="C20" s="96">
        <f t="shared" si="3"/>
        <v>4755800000</v>
      </c>
      <c r="D20" s="96">
        <v>4538300000</v>
      </c>
      <c r="E20" s="96">
        <f t="shared" si="4"/>
        <v>217500000</v>
      </c>
      <c r="F20" s="96"/>
      <c r="G20" s="96">
        <f t="shared" si="5"/>
        <v>217500000</v>
      </c>
      <c r="H20" s="96"/>
      <c r="I20" s="96">
        <v>217500000</v>
      </c>
      <c r="J20" s="96"/>
      <c r="K20" s="96">
        <f t="shared" si="2"/>
        <v>5322444250</v>
      </c>
      <c r="L20" s="96">
        <v>4531300000</v>
      </c>
      <c r="M20" s="96">
        <f t="shared" si="6"/>
        <v>791144250</v>
      </c>
      <c r="N20" s="96"/>
      <c r="O20" s="96">
        <f t="shared" si="13"/>
        <v>791144250</v>
      </c>
      <c r="P20" s="96"/>
      <c r="Q20" s="96">
        <v>791144250</v>
      </c>
      <c r="R20" s="96"/>
      <c r="S20" s="113">
        <f t="shared" si="8"/>
        <v>1.1191480402876488</v>
      </c>
      <c r="T20" s="113">
        <f t="shared" si="9"/>
        <v>0.99845757221867215</v>
      </c>
      <c r="U20" s="113">
        <f t="shared" si="10"/>
        <v>3.637444827586207</v>
      </c>
      <c r="V20" s="113"/>
      <c r="W20" s="113">
        <f t="shared" si="11"/>
        <v>3.637444827586207</v>
      </c>
      <c r="X20" s="113"/>
      <c r="Y20" s="113">
        <f t="shared" si="12"/>
        <v>3.637444827586207</v>
      </c>
      <c r="Z20" s="113"/>
    </row>
    <row r="21" spans="1:26" ht="21.95" customHeight="1">
      <c r="A21" s="94" t="s">
        <v>35</v>
      </c>
      <c r="B21" s="95" t="s">
        <v>273</v>
      </c>
      <c r="C21" s="96">
        <f t="shared" si="3"/>
        <v>5523500000</v>
      </c>
      <c r="D21" s="96">
        <v>4866000000</v>
      </c>
      <c r="E21" s="96">
        <f t="shared" si="4"/>
        <v>657500000</v>
      </c>
      <c r="F21" s="96"/>
      <c r="G21" s="96">
        <f t="shared" si="5"/>
        <v>657500000</v>
      </c>
      <c r="H21" s="96"/>
      <c r="I21" s="96">
        <v>657500000</v>
      </c>
      <c r="J21" s="96"/>
      <c r="K21" s="96">
        <f t="shared" si="2"/>
        <v>6323994000</v>
      </c>
      <c r="L21" s="96">
        <v>4865000000</v>
      </c>
      <c r="M21" s="96">
        <f t="shared" si="6"/>
        <v>1458994000</v>
      </c>
      <c r="N21" s="96"/>
      <c r="O21" s="96">
        <f t="shared" si="13"/>
        <v>1458994000</v>
      </c>
      <c r="P21" s="96"/>
      <c r="Q21" s="96">
        <v>1458994000</v>
      </c>
      <c r="R21" s="96"/>
      <c r="S21" s="113">
        <f t="shared" si="8"/>
        <v>1.1449251380465284</v>
      </c>
      <c r="T21" s="113">
        <f t="shared" si="9"/>
        <v>0.99979449239621865</v>
      </c>
      <c r="U21" s="113">
        <f t="shared" si="10"/>
        <v>2.2190022813688213</v>
      </c>
      <c r="V21" s="113"/>
      <c r="W21" s="113">
        <f t="shared" si="11"/>
        <v>2.2190022813688213</v>
      </c>
      <c r="X21" s="113"/>
      <c r="Y21" s="113">
        <f t="shared" si="12"/>
        <v>2.2190022813688213</v>
      </c>
      <c r="Z21" s="113"/>
    </row>
    <row r="22" spans="1:26" ht="21.95" customHeight="1">
      <c r="A22" s="94" t="s">
        <v>36</v>
      </c>
      <c r="B22" s="95" t="s">
        <v>271</v>
      </c>
      <c r="C22" s="96">
        <f t="shared" si="3"/>
        <v>3769400000</v>
      </c>
      <c r="D22" s="96">
        <v>3585900000</v>
      </c>
      <c r="E22" s="96">
        <f t="shared" si="4"/>
        <v>183500000</v>
      </c>
      <c r="F22" s="96"/>
      <c r="G22" s="96">
        <f t="shared" si="5"/>
        <v>183500000</v>
      </c>
      <c r="H22" s="96"/>
      <c r="I22" s="96">
        <v>183500000</v>
      </c>
      <c r="J22" s="96"/>
      <c r="K22" s="96">
        <f t="shared" si="2"/>
        <v>4478143300</v>
      </c>
      <c r="L22" s="96">
        <v>3657590000</v>
      </c>
      <c r="M22" s="96">
        <f t="shared" si="6"/>
        <v>820553300</v>
      </c>
      <c r="N22" s="96"/>
      <c r="O22" s="96">
        <f t="shared" si="13"/>
        <v>820553300</v>
      </c>
      <c r="P22" s="96"/>
      <c r="Q22" s="96">
        <v>820553300</v>
      </c>
      <c r="R22" s="96"/>
      <c r="S22" s="113">
        <f t="shared" si="8"/>
        <v>1.1880254947737041</v>
      </c>
      <c r="T22" s="113">
        <f t="shared" si="9"/>
        <v>1.0199921916394767</v>
      </c>
      <c r="U22" s="113">
        <f t="shared" si="10"/>
        <v>4.4716801089918254</v>
      </c>
      <c r="V22" s="113"/>
      <c r="W22" s="113">
        <f t="shared" si="11"/>
        <v>4.4716801089918254</v>
      </c>
      <c r="X22" s="113"/>
      <c r="Y22" s="113">
        <f t="shared" si="12"/>
        <v>4.4716801089918254</v>
      </c>
      <c r="Z22" s="113"/>
    </row>
    <row r="23" spans="1:26" ht="21.95" customHeight="1">
      <c r="A23" s="102" t="s">
        <v>37</v>
      </c>
      <c r="B23" s="97" t="s">
        <v>275</v>
      </c>
      <c r="C23" s="96">
        <f t="shared" si="3"/>
        <v>4999000000</v>
      </c>
      <c r="D23" s="96">
        <v>4774500000</v>
      </c>
      <c r="E23" s="96">
        <f t="shared" si="4"/>
        <v>224500000</v>
      </c>
      <c r="F23" s="96"/>
      <c r="G23" s="96">
        <f t="shared" si="5"/>
        <v>224500000</v>
      </c>
      <c r="H23" s="98"/>
      <c r="I23" s="98">
        <v>224500000</v>
      </c>
      <c r="J23" s="98"/>
      <c r="K23" s="96">
        <f t="shared" si="2"/>
        <v>5654376281</v>
      </c>
      <c r="L23" s="96">
        <v>4774500000</v>
      </c>
      <c r="M23" s="96">
        <f t="shared" si="6"/>
        <v>879876281</v>
      </c>
      <c r="N23" s="96"/>
      <c r="O23" s="96">
        <f>P23+Q23+R23</f>
        <v>879876281</v>
      </c>
      <c r="P23" s="98"/>
      <c r="Q23" s="98">
        <f>879876281-R23</f>
        <v>809876281</v>
      </c>
      <c r="R23" s="98">
        <v>70000000</v>
      </c>
      <c r="S23" s="113">
        <f t="shared" si="8"/>
        <v>1.1311014764952991</v>
      </c>
      <c r="T23" s="113">
        <f t="shared" si="9"/>
        <v>1</v>
      </c>
      <c r="U23" s="113">
        <f t="shared" si="10"/>
        <v>3.9192707394209356</v>
      </c>
      <c r="V23" s="113"/>
      <c r="W23" s="113">
        <f t="shared" si="11"/>
        <v>3.9192707394209356</v>
      </c>
      <c r="X23" s="113"/>
      <c r="Y23" s="113">
        <f t="shared" si="12"/>
        <v>3.6074667305122494</v>
      </c>
      <c r="Z23" s="113"/>
    </row>
    <row r="24" spans="1:26" ht="21.75" customHeight="1">
      <c r="B24" s="117"/>
      <c r="C24" s="118" t="s">
        <v>553</v>
      </c>
      <c r="D24" s="117"/>
      <c r="E24" s="117"/>
      <c r="F24" s="117"/>
      <c r="G24" s="117"/>
      <c r="H24" s="117"/>
      <c r="I24" s="117"/>
      <c r="J24" s="117"/>
      <c r="K24" s="117"/>
      <c r="L24" s="117"/>
      <c r="M24" s="117"/>
      <c r="N24" s="117"/>
      <c r="O24" s="117"/>
      <c r="P24" s="117"/>
      <c r="Q24" s="117"/>
      <c r="R24" s="117"/>
      <c r="S24" s="117"/>
      <c r="T24" s="117"/>
      <c r="U24" s="117"/>
      <c r="V24" s="117"/>
      <c r="W24" s="117"/>
      <c r="X24" s="117"/>
      <c r="Y24" s="117"/>
      <c r="Z24" s="117"/>
    </row>
    <row r="25" spans="1:26">
      <c r="A25" s="410" t="s">
        <v>0</v>
      </c>
      <c r="B25" s="410"/>
      <c r="C25" s="410"/>
      <c r="D25" s="410"/>
      <c r="E25" s="410"/>
      <c r="F25" s="410"/>
      <c r="G25" s="410"/>
      <c r="H25" s="410"/>
      <c r="I25" s="410"/>
      <c r="J25" s="410"/>
      <c r="K25" s="410"/>
      <c r="L25" s="410"/>
      <c r="M25" s="410"/>
      <c r="N25" s="410"/>
      <c r="O25" s="410"/>
      <c r="P25" s="410"/>
      <c r="Q25" s="410"/>
      <c r="R25" s="410"/>
      <c r="S25" s="410"/>
      <c r="T25" s="410"/>
      <c r="U25" s="410"/>
      <c r="V25" s="410"/>
      <c r="W25" s="410"/>
      <c r="X25" s="410"/>
      <c r="Y25" s="410"/>
    </row>
    <row r="26" spans="1:26">
      <c r="A26" s="410" t="s">
        <v>0</v>
      </c>
      <c r="B26" s="410"/>
      <c r="C26" s="410"/>
      <c r="D26" s="410"/>
      <c r="E26" s="410"/>
      <c r="F26" s="410"/>
      <c r="G26" s="410"/>
      <c r="H26" s="410"/>
      <c r="I26" s="410"/>
      <c r="J26" s="410"/>
      <c r="K26" s="410"/>
      <c r="L26" s="410"/>
      <c r="M26" s="410"/>
      <c r="N26" s="410"/>
      <c r="O26" s="410"/>
      <c r="P26" s="410"/>
      <c r="Q26" s="410"/>
      <c r="R26" s="410"/>
      <c r="S26" s="410"/>
      <c r="T26" s="410"/>
      <c r="U26" s="410"/>
      <c r="V26" s="410"/>
      <c r="W26" s="410"/>
      <c r="X26" s="410"/>
      <c r="Y26" s="410"/>
    </row>
  </sheetData>
  <mergeCells count="35">
    <mergeCell ref="Z8:Z9"/>
    <mergeCell ref="U7:Z7"/>
    <mergeCell ref="T7:T9"/>
    <mergeCell ref="A25:Y25"/>
    <mergeCell ref="E7:J7"/>
    <mergeCell ref="S7:S9"/>
    <mergeCell ref="M8:M9"/>
    <mergeCell ref="A26:Y26"/>
    <mergeCell ref="U8:U9"/>
    <mergeCell ref="V8:W8"/>
    <mergeCell ref="X8:X9"/>
    <mergeCell ref="Y8:Y9"/>
    <mergeCell ref="L7:L9"/>
    <mergeCell ref="M7:R7"/>
    <mergeCell ref="P8:P9"/>
    <mergeCell ref="Q8:Q9"/>
    <mergeCell ref="R8:R9"/>
    <mergeCell ref="A6:A9"/>
    <mergeCell ref="B6:B9"/>
    <mergeCell ref="C3:L3"/>
    <mergeCell ref="C4:L4"/>
    <mergeCell ref="C7:C9"/>
    <mergeCell ref="D7:D9"/>
    <mergeCell ref="K7:K9"/>
    <mergeCell ref="E8:E9"/>
    <mergeCell ref="F8:G8"/>
    <mergeCell ref="H8:H9"/>
    <mergeCell ref="J8:J9"/>
    <mergeCell ref="I8:I9"/>
    <mergeCell ref="A5:Z5"/>
    <mergeCell ref="N8:O8"/>
    <mergeCell ref="C6:J6"/>
    <mergeCell ref="K6:L6"/>
    <mergeCell ref="M6:R6"/>
    <mergeCell ref="S6:Z6"/>
  </mergeCells>
  <pageMargins left="0.73" right="0.16" top="0.75" bottom="0.62" header="0.3" footer="0.3"/>
  <pageSetup paperSize="9" scale="80" orientation="landscape" verticalDpi="0" r:id="rId1"/>
  <headerFoot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2"/>
  <sheetViews>
    <sheetView showGridLines="0" showZeros="0" tabSelected="1" view="pageBreakPreview" zoomScale="40" zoomScaleNormal="130" zoomScaleSheetLayoutView="40" workbookViewId="0">
      <selection activeCell="I13" sqref="I13"/>
    </sheetView>
  </sheetViews>
  <sheetFormatPr defaultRowHeight="15" outlineLevelCol="1"/>
  <cols>
    <col min="1" max="1" width="4.5703125" style="298" customWidth="1"/>
    <col min="2" max="2" width="24" style="298" customWidth="1"/>
    <col min="3" max="3" width="13.28515625" style="298" customWidth="1" outlineLevel="1"/>
    <col min="4" max="4" width="8.42578125" style="298" customWidth="1" outlineLevel="1"/>
    <col min="5" max="5" width="13.42578125" style="298" customWidth="1" outlineLevel="1"/>
    <col min="6" max="6" width="7.28515625" style="298" customWidth="1" outlineLevel="1"/>
    <col min="7" max="7" width="7.42578125" style="298" customWidth="1" outlineLevel="1"/>
    <col min="8" max="8" width="8.28515625" style="298" customWidth="1" outlineLevel="1"/>
    <col min="9" max="9" width="7.85546875" style="298" customWidth="1" outlineLevel="1"/>
    <col min="10" max="10" width="6.7109375" style="298" customWidth="1" outlineLevel="1"/>
    <col min="11" max="11" width="7.5703125" style="298" customWidth="1" outlineLevel="1"/>
    <col min="12" max="12" width="7.7109375" style="298" customWidth="1" outlineLevel="1"/>
    <col min="13" max="13" width="12.42578125" style="298" bestFit="1" customWidth="1"/>
    <col min="14" max="14" width="8.28515625" style="298" customWidth="1"/>
    <col min="15" max="16" width="7.7109375" style="298" customWidth="1"/>
    <col min="17" max="17" width="12.42578125" style="298" customWidth="1"/>
    <col min="18" max="18" width="12.42578125" style="298" bestFit="1" customWidth="1"/>
    <col min="19" max="19" width="7.5703125" style="298" customWidth="1"/>
    <col min="20" max="20" width="14" style="298" customWidth="1" outlineLevel="1"/>
    <col min="21" max="21" width="13.85546875" style="298" customWidth="1" outlineLevel="1"/>
    <col min="22" max="22" width="13.140625" style="298" customWidth="1" outlineLevel="1"/>
    <col min="23" max="23" width="12.7109375" style="298" customWidth="1" outlineLevel="1"/>
    <col min="24" max="24" width="12.5703125" style="298" customWidth="1" outlineLevel="1"/>
    <col min="25" max="25" width="7.5703125" style="298" customWidth="1" outlineLevel="1"/>
    <col min="26" max="26" width="12.85546875" style="298" customWidth="1" outlineLevel="1"/>
    <col min="27" max="27" width="6.85546875" style="298" customWidth="1" outlineLevel="1"/>
    <col min="28" max="28" width="8" style="298" customWidth="1" outlineLevel="1"/>
    <col min="29" max="29" width="5.140625" style="298" customWidth="1" outlineLevel="1"/>
    <col min="30" max="30" width="13" style="298" customWidth="1"/>
    <col min="31" max="31" width="12" style="298" customWidth="1"/>
    <col min="32" max="32" width="11.7109375" style="298" customWidth="1"/>
    <col min="33" max="33" width="10.7109375" style="298" customWidth="1"/>
    <col min="34" max="34" width="14.85546875" style="298" customWidth="1"/>
    <col min="35" max="35" width="13.85546875" style="298" customWidth="1"/>
    <col min="36" max="36" width="10.85546875" style="298" customWidth="1"/>
    <col min="37" max="37" width="12" style="298" customWidth="1" outlineLevel="1"/>
    <col min="38" max="38" width="9.7109375" style="298" customWidth="1" outlineLevel="1"/>
    <col min="39" max="39" width="11.7109375" style="298" customWidth="1" outlineLevel="1"/>
    <col min="40" max="40" width="11.42578125" style="298" customWidth="1" outlineLevel="1"/>
    <col min="41" max="41" width="9.85546875" style="298" customWidth="1" outlineLevel="1"/>
    <col min="42" max="42" width="11.28515625" style="298" customWidth="1" outlineLevel="1"/>
    <col min="43" max="43" width="11" style="298" customWidth="1" outlineLevel="1"/>
    <col min="44" max="44" width="9.85546875" style="298" customWidth="1" outlineLevel="1"/>
    <col min="45" max="45" width="11.140625" style="298" customWidth="1" outlineLevel="1"/>
    <col min="46" max="46" width="10.42578125" style="298" customWidth="1" outlineLevel="1"/>
    <col min="47" max="47" width="12.28515625" style="298" customWidth="1"/>
    <col min="48" max="48" width="12" style="298" customWidth="1"/>
    <col min="49" max="49" width="10.7109375" style="298" customWidth="1"/>
    <col min="50" max="50" width="11" style="298" customWidth="1"/>
    <col min="51" max="51" width="10.85546875" style="298" customWidth="1"/>
    <col min="52" max="52" width="11.7109375" style="298" customWidth="1"/>
    <col min="53" max="53" width="11.28515625" style="298" customWidth="1"/>
    <col min="54" max="54" width="9.140625" style="298" customWidth="1"/>
    <col min="55" max="16384" width="9.140625" style="298"/>
  </cols>
  <sheetData>
    <row r="1" spans="1:53" s="291" customFormat="1" ht="15" customHeight="1">
      <c r="A1" s="290" t="s">
        <v>134</v>
      </c>
    </row>
    <row r="2" spans="1:53" s="291" customFormat="1" ht="9.75" customHeight="1"/>
    <row r="3" spans="1:53" s="291" customFormat="1" ht="19.5" customHeight="1">
      <c r="B3" s="292"/>
      <c r="C3" s="385" t="s">
        <v>547</v>
      </c>
      <c r="D3" s="385"/>
      <c r="E3" s="385"/>
      <c r="F3" s="385"/>
      <c r="G3" s="385"/>
      <c r="H3" s="385"/>
      <c r="I3" s="385"/>
      <c r="J3" s="385"/>
      <c r="K3" s="385"/>
      <c r="L3" s="385"/>
      <c r="M3" s="385"/>
      <c r="N3" s="385"/>
      <c r="O3" s="385"/>
      <c r="P3" s="385"/>
      <c r="Q3" s="385"/>
      <c r="R3" s="385"/>
      <c r="S3" s="385"/>
      <c r="T3" s="293"/>
      <c r="U3" s="293"/>
      <c r="V3" s="293"/>
      <c r="W3" s="293"/>
      <c r="X3" s="292"/>
      <c r="Y3" s="292"/>
      <c r="Z3" s="292"/>
      <c r="AA3" s="292"/>
      <c r="AB3" s="292"/>
      <c r="AC3" s="292"/>
      <c r="AD3" s="292"/>
      <c r="AE3" s="292"/>
      <c r="AF3" s="292"/>
      <c r="AG3" s="292"/>
      <c r="AH3" s="385"/>
      <c r="AI3" s="385"/>
      <c r="AJ3" s="385"/>
      <c r="AK3" s="385"/>
      <c r="AL3" s="385"/>
      <c r="AM3" s="385"/>
      <c r="AN3" s="385"/>
      <c r="AO3" s="385"/>
      <c r="AP3" s="385"/>
      <c r="AQ3" s="385"/>
      <c r="AR3" s="385"/>
      <c r="AS3" s="385"/>
      <c r="AT3" s="385"/>
      <c r="AU3" s="417"/>
      <c r="AV3" s="417"/>
      <c r="AW3" s="417"/>
      <c r="AX3" s="417"/>
      <c r="AY3" s="417"/>
      <c r="AZ3" s="417"/>
      <c r="BA3" s="417"/>
    </row>
    <row r="4" spans="1:53" s="291" customFormat="1" ht="18.75">
      <c r="B4" s="292"/>
      <c r="C4" s="377" t="s">
        <v>548</v>
      </c>
      <c r="D4" s="377"/>
      <c r="E4" s="377"/>
      <c r="F4" s="377"/>
      <c r="G4" s="377"/>
      <c r="H4" s="377"/>
      <c r="I4" s="377"/>
      <c r="J4" s="377"/>
      <c r="K4" s="377"/>
      <c r="L4" s="377"/>
      <c r="M4" s="377"/>
      <c r="N4" s="377"/>
      <c r="O4" s="377"/>
      <c r="P4" s="377"/>
      <c r="Q4" s="377"/>
      <c r="R4" s="377"/>
      <c r="S4" s="377"/>
      <c r="T4" s="294"/>
      <c r="U4" s="294"/>
      <c r="V4" s="294"/>
      <c r="W4" s="294"/>
      <c r="X4" s="292"/>
      <c r="Y4" s="292"/>
      <c r="Z4" s="292"/>
      <c r="AA4" s="292"/>
      <c r="AB4" s="292"/>
      <c r="AC4" s="292"/>
      <c r="AD4" s="292"/>
      <c r="AE4" s="292"/>
      <c r="AF4" s="292"/>
      <c r="AG4" s="292"/>
      <c r="AH4" s="416"/>
      <c r="AI4" s="416"/>
      <c r="AJ4" s="416"/>
      <c r="AK4" s="416"/>
      <c r="AL4" s="416"/>
      <c r="AM4" s="416"/>
      <c r="AN4" s="416"/>
      <c r="AO4" s="416"/>
      <c r="AP4" s="416"/>
      <c r="AQ4" s="416"/>
      <c r="AR4" s="416"/>
      <c r="AS4" s="416"/>
      <c r="AT4" s="416"/>
      <c r="AU4" s="418"/>
      <c r="AV4" s="418"/>
      <c r="AW4" s="418"/>
      <c r="AX4" s="418"/>
      <c r="AY4" s="418"/>
      <c r="AZ4" s="418"/>
      <c r="BA4" s="418"/>
    </row>
    <row r="5" spans="1:53" s="291" customFormat="1" ht="11.25" customHeight="1">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295"/>
      <c r="AU5" s="295"/>
      <c r="AV5" s="295"/>
      <c r="AW5" s="295"/>
      <c r="AX5" s="295"/>
      <c r="AY5" s="295"/>
      <c r="AZ5" s="295"/>
      <c r="BA5" s="295"/>
    </row>
    <row r="6" spans="1:53" s="291" customFormat="1">
      <c r="A6" s="296"/>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Y6" s="297"/>
      <c r="AZ6" s="297" t="s">
        <v>1</v>
      </c>
      <c r="BA6" s="297"/>
    </row>
    <row r="7" spans="1:53" ht="18.75" customHeight="1">
      <c r="A7" s="411" t="s">
        <v>166</v>
      </c>
      <c r="B7" s="411" t="s">
        <v>167</v>
      </c>
      <c r="C7" s="414" t="s">
        <v>4</v>
      </c>
      <c r="D7" s="412"/>
      <c r="E7" s="412"/>
      <c r="F7" s="412"/>
      <c r="G7" s="412"/>
      <c r="H7" s="412"/>
      <c r="I7" s="412"/>
      <c r="J7" s="412"/>
      <c r="K7" s="412"/>
      <c r="L7" s="412"/>
      <c r="M7" s="412"/>
      <c r="N7" s="412"/>
      <c r="O7" s="412"/>
      <c r="P7" s="412"/>
      <c r="Q7" s="412"/>
      <c r="R7" s="412"/>
      <c r="S7" s="413"/>
      <c r="T7" s="414" t="s">
        <v>5</v>
      </c>
      <c r="U7" s="412"/>
      <c r="V7" s="412"/>
      <c r="W7" s="412"/>
      <c r="X7" s="412"/>
      <c r="Y7" s="412"/>
      <c r="Z7" s="412"/>
      <c r="AA7" s="412"/>
      <c r="AB7" s="412"/>
      <c r="AC7" s="412"/>
      <c r="AD7" s="412"/>
      <c r="AE7" s="412"/>
      <c r="AF7" s="412"/>
      <c r="AG7" s="412"/>
      <c r="AH7" s="412" t="str">
        <f>T7</f>
        <v>Quyết toán</v>
      </c>
      <c r="AI7" s="412"/>
      <c r="AJ7" s="413"/>
      <c r="AK7" s="414" t="s">
        <v>135</v>
      </c>
      <c r="AL7" s="412"/>
      <c r="AM7" s="412"/>
      <c r="AN7" s="412"/>
      <c r="AO7" s="412"/>
      <c r="AP7" s="412"/>
      <c r="AQ7" s="412"/>
      <c r="AR7" s="412"/>
      <c r="AS7" s="412"/>
      <c r="AT7" s="413"/>
      <c r="AU7" s="414" t="str">
        <f>AK7</f>
        <v>So sánh</v>
      </c>
      <c r="AV7" s="412"/>
      <c r="AW7" s="412"/>
      <c r="AX7" s="412"/>
      <c r="AY7" s="412"/>
      <c r="AZ7" s="412"/>
      <c r="BA7" s="413"/>
    </row>
    <row r="8" spans="1:53" ht="18.75" customHeight="1">
      <c r="A8" s="411"/>
      <c r="B8" s="411"/>
      <c r="C8" s="411" t="s">
        <v>68</v>
      </c>
      <c r="D8" s="411" t="s">
        <v>102</v>
      </c>
      <c r="E8" s="411"/>
      <c r="F8" s="411" t="s">
        <v>136</v>
      </c>
      <c r="G8" s="411"/>
      <c r="H8" s="411"/>
      <c r="I8" s="411"/>
      <c r="J8" s="411"/>
      <c r="K8" s="411"/>
      <c r="L8" s="411"/>
      <c r="M8" s="411" t="s">
        <v>137</v>
      </c>
      <c r="N8" s="411"/>
      <c r="O8" s="411"/>
      <c r="P8" s="411"/>
      <c r="Q8" s="411"/>
      <c r="R8" s="411"/>
      <c r="S8" s="411"/>
      <c r="T8" s="411" t="s">
        <v>68</v>
      </c>
      <c r="U8" s="411" t="s">
        <v>102</v>
      </c>
      <c r="V8" s="411"/>
      <c r="W8" s="411" t="s">
        <v>136</v>
      </c>
      <c r="X8" s="411"/>
      <c r="Y8" s="411"/>
      <c r="Z8" s="411"/>
      <c r="AA8" s="411"/>
      <c r="AB8" s="411"/>
      <c r="AC8" s="411"/>
      <c r="AD8" s="414" t="s">
        <v>439</v>
      </c>
      <c r="AE8" s="412"/>
      <c r="AF8" s="412"/>
      <c r="AG8" s="412"/>
      <c r="AH8" s="412"/>
      <c r="AI8" s="412"/>
      <c r="AJ8" s="413"/>
      <c r="AK8" s="411" t="s">
        <v>68</v>
      </c>
      <c r="AL8" s="411" t="s">
        <v>102</v>
      </c>
      <c r="AM8" s="411"/>
      <c r="AN8" s="411" t="s">
        <v>136</v>
      </c>
      <c r="AO8" s="411"/>
      <c r="AP8" s="411"/>
      <c r="AQ8" s="411"/>
      <c r="AR8" s="411"/>
      <c r="AS8" s="411"/>
      <c r="AT8" s="411"/>
      <c r="AU8" s="411" t="s">
        <v>137</v>
      </c>
      <c r="AV8" s="411"/>
      <c r="AW8" s="411"/>
      <c r="AX8" s="411"/>
      <c r="AY8" s="411"/>
      <c r="AZ8" s="411"/>
      <c r="BA8" s="411"/>
    </row>
    <row r="9" spans="1:53" ht="17.25" customHeight="1">
      <c r="A9" s="411"/>
      <c r="B9" s="411"/>
      <c r="C9" s="411"/>
      <c r="D9" s="411" t="s">
        <v>138</v>
      </c>
      <c r="E9" s="411" t="s">
        <v>139</v>
      </c>
      <c r="F9" s="411" t="s">
        <v>68</v>
      </c>
      <c r="G9" s="411" t="s">
        <v>10</v>
      </c>
      <c r="H9" s="411"/>
      <c r="I9" s="411"/>
      <c r="J9" s="411" t="s">
        <v>139</v>
      </c>
      <c r="K9" s="411"/>
      <c r="L9" s="411"/>
      <c r="M9" s="411" t="s">
        <v>68</v>
      </c>
      <c r="N9" s="411" t="s">
        <v>10</v>
      </c>
      <c r="O9" s="411"/>
      <c r="P9" s="411"/>
      <c r="Q9" s="411" t="s">
        <v>139</v>
      </c>
      <c r="R9" s="411"/>
      <c r="S9" s="411"/>
      <c r="T9" s="411"/>
      <c r="U9" s="411" t="s">
        <v>138</v>
      </c>
      <c r="V9" s="411" t="s">
        <v>139</v>
      </c>
      <c r="W9" s="411" t="s">
        <v>68</v>
      </c>
      <c r="X9" s="411" t="s">
        <v>10</v>
      </c>
      <c r="Y9" s="411"/>
      <c r="Z9" s="411"/>
      <c r="AA9" s="411" t="s">
        <v>139</v>
      </c>
      <c r="AB9" s="411"/>
      <c r="AC9" s="411"/>
      <c r="AD9" s="411" t="s">
        <v>68</v>
      </c>
      <c r="AE9" s="411" t="s">
        <v>10</v>
      </c>
      <c r="AF9" s="411"/>
      <c r="AG9" s="411"/>
      <c r="AH9" s="411" t="s">
        <v>139</v>
      </c>
      <c r="AI9" s="411"/>
      <c r="AJ9" s="411"/>
      <c r="AK9" s="411"/>
      <c r="AL9" s="411" t="s">
        <v>138</v>
      </c>
      <c r="AM9" s="411" t="s">
        <v>139</v>
      </c>
      <c r="AN9" s="411" t="s">
        <v>68</v>
      </c>
      <c r="AO9" s="411" t="s">
        <v>10</v>
      </c>
      <c r="AP9" s="411"/>
      <c r="AQ9" s="411"/>
      <c r="AR9" s="411" t="s">
        <v>139</v>
      </c>
      <c r="AS9" s="411"/>
      <c r="AT9" s="411"/>
      <c r="AU9" s="411" t="s">
        <v>68</v>
      </c>
      <c r="AV9" s="411" t="s">
        <v>10</v>
      </c>
      <c r="AW9" s="411"/>
      <c r="AX9" s="411"/>
      <c r="AY9" s="411" t="s">
        <v>139</v>
      </c>
      <c r="AZ9" s="411"/>
      <c r="BA9" s="411"/>
    </row>
    <row r="10" spans="1:53" ht="17.25" customHeight="1">
      <c r="A10" s="411"/>
      <c r="B10" s="411"/>
      <c r="C10" s="411"/>
      <c r="D10" s="411"/>
      <c r="E10" s="411"/>
      <c r="F10" s="411"/>
      <c r="G10" s="411" t="s">
        <v>68</v>
      </c>
      <c r="H10" s="411" t="s">
        <v>140</v>
      </c>
      <c r="I10" s="411"/>
      <c r="J10" s="411" t="s">
        <v>68</v>
      </c>
      <c r="K10" s="411" t="s">
        <v>140</v>
      </c>
      <c r="L10" s="411"/>
      <c r="M10" s="411"/>
      <c r="N10" s="411" t="s">
        <v>68</v>
      </c>
      <c r="O10" s="411" t="s">
        <v>140</v>
      </c>
      <c r="P10" s="411"/>
      <c r="Q10" s="411" t="s">
        <v>68</v>
      </c>
      <c r="R10" s="411" t="s">
        <v>140</v>
      </c>
      <c r="S10" s="411"/>
      <c r="T10" s="411"/>
      <c r="U10" s="411"/>
      <c r="V10" s="411"/>
      <c r="W10" s="411"/>
      <c r="X10" s="411" t="s">
        <v>68</v>
      </c>
      <c r="Y10" s="411" t="s">
        <v>140</v>
      </c>
      <c r="Z10" s="411"/>
      <c r="AA10" s="411" t="s">
        <v>68</v>
      </c>
      <c r="AB10" s="411" t="s">
        <v>140</v>
      </c>
      <c r="AC10" s="411"/>
      <c r="AD10" s="411"/>
      <c r="AE10" s="411" t="s">
        <v>68</v>
      </c>
      <c r="AF10" s="411" t="s">
        <v>140</v>
      </c>
      <c r="AG10" s="411"/>
      <c r="AH10" s="411" t="s">
        <v>68</v>
      </c>
      <c r="AI10" s="411" t="s">
        <v>140</v>
      </c>
      <c r="AJ10" s="411"/>
      <c r="AK10" s="411"/>
      <c r="AL10" s="411"/>
      <c r="AM10" s="411"/>
      <c r="AN10" s="411"/>
      <c r="AO10" s="411" t="s">
        <v>68</v>
      </c>
      <c r="AP10" s="411" t="s">
        <v>140</v>
      </c>
      <c r="AQ10" s="411"/>
      <c r="AR10" s="411" t="s">
        <v>68</v>
      </c>
      <c r="AS10" s="411" t="s">
        <v>140</v>
      </c>
      <c r="AT10" s="411"/>
      <c r="AU10" s="411"/>
      <c r="AV10" s="411" t="s">
        <v>68</v>
      </c>
      <c r="AW10" s="411" t="s">
        <v>140</v>
      </c>
      <c r="AX10" s="411"/>
      <c r="AY10" s="411" t="s">
        <v>68</v>
      </c>
      <c r="AZ10" s="411" t="s">
        <v>140</v>
      </c>
      <c r="BA10" s="411"/>
    </row>
    <row r="11" spans="1:53" ht="57" customHeight="1">
      <c r="A11" s="411"/>
      <c r="B11" s="411"/>
      <c r="C11" s="411"/>
      <c r="D11" s="411"/>
      <c r="E11" s="411"/>
      <c r="F11" s="411"/>
      <c r="G11" s="411"/>
      <c r="H11" s="299" t="s">
        <v>123</v>
      </c>
      <c r="I11" s="299" t="s">
        <v>122</v>
      </c>
      <c r="J11" s="411"/>
      <c r="K11" s="299" t="s">
        <v>123</v>
      </c>
      <c r="L11" s="299" t="s">
        <v>122</v>
      </c>
      <c r="M11" s="411"/>
      <c r="N11" s="411"/>
      <c r="O11" s="299" t="s">
        <v>123</v>
      </c>
      <c r="P11" s="299" t="s">
        <v>122</v>
      </c>
      <c r="Q11" s="411"/>
      <c r="R11" s="299" t="s">
        <v>123</v>
      </c>
      <c r="S11" s="300" t="s">
        <v>122</v>
      </c>
      <c r="T11" s="411"/>
      <c r="U11" s="411"/>
      <c r="V11" s="411"/>
      <c r="W11" s="411"/>
      <c r="X11" s="411"/>
      <c r="Y11" s="299" t="s">
        <v>123</v>
      </c>
      <c r="Z11" s="299" t="s">
        <v>122</v>
      </c>
      <c r="AA11" s="411"/>
      <c r="AB11" s="299" t="s">
        <v>123</v>
      </c>
      <c r="AC11" s="300" t="s">
        <v>438</v>
      </c>
      <c r="AD11" s="411"/>
      <c r="AE11" s="411"/>
      <c r="AF11" s="299" t="s">
        <v>123</v>
      </c>
      <c r="AG11" s="299" t="s">
        <v>122</v>
      </c>
      <c r="AH11" s="411"/>
      <c r="AI11" s="299" t="s">
        <v>123</v>
      </c>
      <c r="AJ11" s="299" t="s">
        <v>122</v>
      </c>
      <c r="AK11" s="411"/>
      <c r="AL11" s="411"/>
      <c r="AM11" s="411"/>
      <c r="AN11" s="411"/>
      <c r="AO11" s="411"/>
      <c r="AP11" s="299" t="s">
        <v>123</v>
      </c>
      <c r="AQ11" s="299" t="s">
        <v>122</v>
      </c>
      <c r="AR11" s="411"/>
      <c r="AS11" s="299" t="s">
        <v>123</v>
      </c>
      <c r="AT11" s="299" t="s">
        <v>122</v>
      </c>
      <c r="AU11" s="411"/>
      <c r="AV11" s="411"/>
      <c r="AW11" s="299" t="s">
        <v>123</v>
      </c>
      <c r="AX11" s="299" t="s">
        <v>122</v>
      </c>
      <c r="AY11" s="411"/>
      <c r="AZ11" s="299" t="s">
        <v>123</v>
      </c>
      <c r="BA11" s="299" t="s">
        <v>122</v>
      </c>
    </row>
    <row r="12" spans="1:53" s="302" customFormat="1" ht="15" customHeight="1">
      <c r="A12" s="301" t="s">
        <v>7</v>
      </c>
      <c r="B12" s="301" t="s">
        <v>24</v>
      </c>
      <c r="C12" s="301" t="s">
        <v>11</v>
      </c>
      <c r="D12" s="301" t="s">
        <v>19</v>
      </c>
      <c r="E12" s="301" t="s">
        <v>28</v>
      </c>
      <c r="F12" s="301" t="s">
        <v>29</v>
      </c>
      <c r="G12" s="301" t="s">
        <v>30</v>
      </c>
      <c r="H12" s="301" t="s">
        <v>31</v>
      </c>
      <c r="I12" s="301" t="s">
        <v>32</v>
      </c>
      <c r="J12" s="301" t="s">
        <v>33</v>
      </c>
      <c r="K12" s="301" t="s">
        <v>34</v>
      </c>
      <c r="L12" s="301" t="s">
        <v>35</v>
      </c>
      <c r="M12" s="301" t="s">
        <v>36</v>
      </c>
      <c r="N12" s="301" t="s">
        <v>37</v>
      </c>
      <c r="O12" s="301" t="s">
        <v>38</v>
      </c>
      <c r="P12" s="301" t="s">
        <v>39</v>
      </c>
      <c r="Q12" s="301" t="s">
        <v>40</v>
      </c>
      <c r="R12" s="301" t="s">
        <v>41</v>
      </c>
      <c r="S12" s="301" t="s">
        <v>71</v>
      </c>
      <c r="T12" s="301" t="s">
        <v>72</v>
      </c>
      <c r="U12" s="301" t="s">
        <v>73</v>
      </c>
      <c r="V12" s="301" t="s">
        <v>74</v>
      </c>
      <c r="W12" s="301" t="s">
        <v>75</v>
      </c>
      <c r="X12" s="301" t="s">
        <v>76</v>
      </c>
      <c r="Y12" s="301" t="s">
        <v>77</v>
      </c>
      <c r="Z12" s="301" t="s">
        <v>78</v>
      </c>
      <c r="AA12" s="301" t="s">
        <v>79</v>
      </c>
      <c r="AB12" s="301" t="s">
        <v>80</v>
      </c>
      <c r="AC12" s="301" t="s">
        <v>81</v>
      </c>
      <c r="AD12" s="301" t="s">
        <v>141</v>
      </c>
      <c r="AE12" s="301" t="s">
        <v>142</v>
      </c>
      <c r="AF12" s="301" t="s">
        <v>143</v>
      </c>
      <c r="AG12" s="301" t="s">
        <v>144</v>
      </c>
      <c r="AH12" s="301" t="s">
        <v>145</v>
      </c>
      <c r="AI12" s="301" t="s">
        <v>146</v>
      </c>
      <c r="AJ12" s="301" t="s">
        <v>147</v>
      </c>
      <c r="AK12" s="301" t="s">
        <v>148</v>
      </c>
      <c r="AL12" s="301" t="s">
        <v>149</v>
      </c>
      <c r="AM12" s="301" t="s">
        <v>150</v>
      </c>
      <c r="AN12" s="301" t="s">
        <v>151</v>
      </c>
      <c r="AO12" s="301" t="s">
        <v>152</v>
      </c>
      <c r="AP12" s="301" t="s">
        <v>153</v>
      </c>
      <c r="AQ12" s="301" t="s">
        <v>154</v>
      </c>
      <c r="AR12" s="301" t="s">
        <v>155</v>
      </c>
      <c r="AS12" s="301" t="s">
        <v>156</v>
      </c>
      <c r="AT12" s="301" t="s">
        <v>157</v>
      </c>
      <c r="AU12" s="301" t="s">
        <v>158</v>
      </c>
      <c r="AV12" s="301" t="s">
        <v>159</v>
      </c>
      <c r="AW12" s="301" t="s">
        <v>160</v>
      </c>
      <c r="AX12" s="301" t="s">
        <v>161</v>
      </c>
      <c r="AY12" s="301" t="s">
        <v>162</v>
      </c>
      <c r="AZ12" s="301" t="s">
        <v>163</v>
      </c>
      <c r="BA12" s="301" t="s">
        <v>164</v>
      </c>
    </row>
    <row r="13" spans="1:53" s="303" customFormat="1" ht="26.25" customHeight="1">
      <c r="A13" s="347" t="s">
        <v>0</v>
      </c>
      <c r="B13" s="348" t="s">
        <v>112</v>
      </c>
      <c r="C13" s="349">
        <f t="shared" ref="C13:AJ13" si="0">C14+C18</f>
        <v>212000000</v>
      </c>
      <c r="D13" s="349">
        <f t="shared" si="0"/>
        <v>0</v>
      </c>
      <c r="E13" s="349">
        <f t="shared" si="0"/>
        <v>212000000</v>
      </c>
      <c r="F13" s="349">
        <f t="shared" si="0"/>
        <v>0</v>
      </c>
      <c r="G13" s="349">
        <f t="shared" si="0"/>
        <v>0</v>
      </c>
      <c r="H13" s="349">
        <f t="shared" si="0"/>
        <v>0</v>
      </c>
      <c r="I13" s="349">
        <f t="shared" si="0"/>
        <v>0</v>
      </c>
      <c r="J13" s="349">
        <f t="shared" si="0"/>
        <v>0</v>
      </c>
      <c r="K13" s="349">
        <f t="shared" si="0"/>
        <v>0</v>
      </c>
      <c r="L13" s="349">
        <f t="shared" si="0"/>
        <v>0</v>
      </c>
      <c r="M13" s="349">
        <f t="shared" si="0"/>
        <v>212000000</v>
      </c>
      <c r="N13" s="349">
        <f t="shared" si="0"/>
        <v>0</v>
      </c>
      <c r="O13" s="349">
        <f t="shared" si="0"/>
        <v>0</v>
      </c>
      <c r="P13" s="349">
        <f t="shared" si="0"/>
        <v>0</v>
      </c>
      <c r="Q13" s="349">
        <f t="shared" si="0"/>
        <v>212000000</v>
      </c>
      <c r="R13" s="349">
        <f t="shared" si="0"/>
        <v>212000000</v>
      </c>
      <c r="S13" s="349">
        <f t="shared" si="0"/>
        <v>0</v>
      </c>
      <c r="T13" s="349">
        <f t="shared" si="0"/>
        <v>240644072</v>
      </c>
      <c r="U13" s="349">
        <f t="shared" si="0"/>
        <v>28644072</v>
      </c>
      <c r="V13" s="349">
        <f t="shared" si="0"/>
        <v>212000000</v>
      </c>
      <c r="W13" s="349">
        <f t="shared" si="0"/>
        <v>18144072</v>
      </c>
      <c r="X13" s="349">
        <f t="shared" si="0"/>
        <v>18144072</v>
      </c>
      <c r="Y13" s="349">
        <f t="shared" si="0"/>
        <v>0</v>
      </c>
      <c r="Z13" s="349">
        <f t="shared" si="0"/>
        <v>18144072</v>
      </c>
      <c r="AA13" s="349">
        <f t="shared" si="0"/>
        <v>0</v>
      </c>
      <c r="AB13" s="349">
        <f t="shared" si="0"/>
        <v>0</v>
      </c>
      <c r="AC13" s="349">
        <f t="shared" si="0"/>
        <v>0</v>
      </c>
      <c r="AD13" s="349">
        <f t="shared" si="0"/>
        <v>222500000</v>
      </c>
      <c r="AE13" s="349">
        <f t="shared" si="0"/>
        <v>10500000</v>
      </c>
      <c r="AF13" s="349">
        <f t="shared" si="0"/>
        <v>10500000</v>
      </c>
      <c r="AG13" s="349">
        <f t="shared" si="0"/>
        <v>0</v>
      </c>
      <c r="AH13" s="349">
        <f t="shared" si="0"/>
        <v>212000000</v>
      </c>
      <c r="AI13" s="349">
        <f t="shared" si="0"/>
        <v>212000000</v>
      </c>
      <c r="AJ13" s="349">
        <f t="shared" si="0"/>
        <v>0</v>
      </c>
      <c r="AK13" s="350">
        <f>T13/C13</f>
        <v>1.1351135471698113</v>
      </c>
      <c r="AL13" s="350"/>
      <c r="AM13" s="350">
        <f t="shared" ref="AM13:AZ13" si="1">V13/E13</f>
        <v>1</v>
      </c>
      <c r="AN13" s="350"/>
      <c r="AO13" s="350"/>
      <c r="AP13" s="350"/>
      <c r="AQ13" s="350"/>
      <c r="AR13" s="350"/>
      <c r="AS13" s="350"/>
      <c r="AT13" s="350"/>
      <c r="AU13" s="350">
        <f t="shared" si="1"/>
        <v>1.0495283018867925</v>
      </c>
      <c r="AV13" s="350"/>
      <c r="AW13" s="350"/>
      <c r="AX13" s="350"/>
      <c r="AY13" s="350">
        <f t="shared" si="1"/>
        <v>1</v>
      </c>
      <c r="AZ13" s="350">
        <f t="shared" si="1"/>
        <v>1</v>
      </c>
      <c r="BA13" s="350"/>
    </row>
    <row r="14" spans="1:53" s="303" customFormat="1" ht="21" customHeight="1">
      <c r="A14" s="304" t="s">
        <v>9</v>
      </c>
      <c r="B14" s="305" t="s">
        <v>64</v>
      </c>
      <c r="C14" s="306">
        <f t="shared" ref="C14:AJ14" si="2">SUM(C15:C17)</f>
        <v>0</v>
      </c>
      <c r="D14" s="306">
        <f t="shared" si="2"/>
        <v>0</v>
      </c>
      <c r="E14" s="306">
        <f t="shared" si="2"/>
        <v>0</v>
      </c>
      <c r="F14" s="306">
        <f t="shared" si="2"/>
        <v>0</v>
      </c>
      <c r="G14" s="306">
        <f t="shared" si="2"/>
        <v>0</v>
      </c>
      <c r="H14" s="306">
        <f t="shared" si="2"/>
        <v>0</v>
      </c>
      <c r="I14" s="306">
        <f t="shared" si="2"/>
        <v>0</v>
      </c>
      <c r="J14" s="306">
        <f t="shared" si="2"/>
        <v>0</v>
      </c>
      <c r="K14" s="306">
        <f t="shared" si="2"/>
        <v>0</v>
      </c>
      <c r="L14" s="306">
        <f t="shared" si="2"/>
        <v>0</v>
      </c>
      <c r="M14" s="306">
        <f t="shared" si="2"/>
        <v>0</v>
      </c>
      <c r="N14" s="306">
        <f t="shared" si="2"/>
        <v>0</v>
      </c>
      <c r="O14" s="306">
        <f t="shared" si="2"/>
        <v>0</v>
      </c>
      <c r="P14" s="306">
        <f t="shared" si="2"/>
        <v>0</v>
      </c>
      <c r="Q14" s="306">
        <f t="shared" si="2"/>
        <v>0</v>
      </c>
      <c r="R14" s="306">
        <f t="shared" si="2"/>
        <v>0</v>
      </c>
      <c r="S14" s="306">
        <f t="shared" si="2"/>
        <v>0</v>
      </c>
      <c r="T14" s="306">
        <f t="shared" si="2"/>
        <v>28644072</v>
      </c>
      <c r="U14" s="306">
        <f t="shared" si="2"/>
        <v>28644072</v>
      </c>
      <c r="V14" s="306">
        <f t="shared" si="2"/>
        <v>0</v>
      </c>
      <c r="W14" s="306">
        <f t="shared" si="2"/>
        <v>18144072</v>
      </c>
      <c r="X14" s="306">
        <f t="shared" si="2"/>
        <v>18144072</v>
      </c>
      <c r="Y14" s="306">
        <f t="shared" si="2"/>
        <v>0</v>
      </c>
      <c r="Z14" s="306">
        <f t="shared" si="2"/>
        <v>18144072</v>
      </c>
      <c r="AA14" s="306">
        <f t="shared" si="2"/>
        <v>0</v>
      </c>
      <c r="AB14" s="306">
        <f t="shared" si="2"/>
        <v>0</v>
      </c>
      <c r="AC14" s="306">
        <f t="shared" si="2"/>
        <v>0</v>
      </c>
      <c r="AD14" s="306">
        <f t="shared" si="2"/>
        <v>10500000</v>
      </c>
      <c r="AE14" s="306">
        <f t="shared" si="2"/>
        <v>10500000</v>
      </c>
      <c r="AF14" s="306">
        <f t="shared" si="2"/>
        <v>10500000</v>
      </c>
      <c r="AG14" s="306">
        <f t="shared" si="2"/>
        <v>0</v>
      </c>
      <c r="AH14" s="306">
        <f t="shared" si="2"/>
        <v>0</v>
      </c>
      <c r="AI14" s="306">
        <f t="shared" si="2"/>
        <v>0</v>
      </c>
      <c r="AJ14" s="306">
        <f t="shared" si="2"/>
        <v>0</v>
      </c>
      <c r="AK14" s="351"/>
      <c r="AL14" s="351"/>
      <c r="AM14" s="351"/>
      <c r="AN14" s="351"/>
      <c r="AO14" s="351"/>
      <c r="AP14" s="351"/>
      <c r="AQ14" s="351"/>
      <c r="AR14" s="351"/>
      <c r="AS14" s="351"/>
      <c r="AT14" s="351"/>
      <c r="AU14" s="351"/>
      <c r="AV14" s="351"/>
      <c r="AW14" s="351"/>
      <c r="AX14" s="351"/>
      <c r="AY14" s="351"/>
      <c r="AZ14" s="351"/>
      <c r="BA14" s="351"/>
    </row>
    <row r="15" spans="1:53" ht="21" customHeight="1">
      <c r="A15" s="307" t="s">
        <v>11</v>
      </c>
      <c r="B15" s="308" t="s">
        <v>267</v>
      </c>
      <c r="C15" s="309">
        <f t="shared" ref="C15:C16" si="3">D15+E15</f>
        <v>0</v>
      </c>
      <c r="D15" s="309">
        <f t="shared" ref="D15:D16" si="4">G15+N15</f>
        <v>0</v>
      </c>
      <c r="E15" s="309">
        <f t="shared" ref="E15:E16" si="5">J15+Q15</f>
        <v>0</v>
      </c>
      <c r="F15" s="309">
        <f t="shared" ref="F15:F16" si="6">G15+J15</f>
        <v>0</v>
      </c>
      <c r="G15" s="309">
        <f t="shared" ref="G15:G16" si="7">H15+I15</f>
        <v>0</v>
      </c>
      <c r="H15" s="309"/>
      <c r="I15" s="309"/>
      <c r="J15" s="309">
        <f t="shared" ref="J15:J16" si="8">K15+L15</f>
        <v>0</v>
      </c>
      <c r="K15" s="309"/>
      <c r="L15" s="309"/>
      <c r="M15" s="309">
        <f t="shared" ref="M15:M16" si="9">N15+Q15</f>
        <v>0</v>
      </c>
      <c r="N15" s="309">
        <f t="shared" ref="N15:N16" si="10">O15+P15</f>
        <v>0</v>
      </c>
      <c r="O15" s="309"/>
      <c r="P15" s="309"/>
      <c r="Q15" s="309">
        <f t="shared" ref="Q15:Q16" si="11">R15+S15</f>
        <v>0</v>
      </c>
      <c r="R15" s="309"/>
      <c r="S15" s="309"/>
      <c r="T15" s="309">
        <f t="shared" ref="T15:T17" si="12">U15+V15</f>
        <v>14560000</v>
      </c>
      <c r="U15" s="309">
        <f t="shared" ref="U15:U17" si="13">W15+AE15</f>
        <v>14560000</v>
      </c>
      <c r="V15" s="309">
        <f t="shared" ref="V15:V17" si="14">AA15+AH15</f>
        <v>0</v>
      </c>
      <c r="W15" s="309">
        <f t="shared" ref="W15:W17" si="15">X15+AA15</f>
        <v>14560000</v>
      </c>
      <c r="X15" s="309">
        <f t="shared" ref="X15:X17" si="16">Y15+Z15</f>
        <v>14560000</v>
      </c>
      <c r="Y15" s="309"/>
      <c r="Z15" s="309">
        <v>14560000</v>
      </c>
      <c r="AA15" s="309">
        <f t="shared" ref="AA15:AA17" si="17">AB15+AC15</f>
        <v>0</v>
      </c>
      <c r="AB15" s="309"/>
      <c r="AC15" s="309"/>
      <c r="AD15" s="309">
        <f t="shared" ref="AD15:AD17" si="18">AE15+AH15</f>
        <v>0</v>
      </c>
      <c r="AE15" s="309">
        <f t="shared" ref="AE15:AE17" si="19">AF15+AG15</f>
        <v>0</v>
      </c>
      <c r="AF15" s="309"/>
      <c r="AG15" s="309"/>
      <c r="AH15" s="309">
        <f t="shared" ref="AH15:AH17" si="20">AI15+AJ15</f>
        <v>0</v>
      </c>
      <c r="AI15" s="309"/>
      <c r="AJ15" s="309"/>
      <c r="AK15" s="352"/>
      <c r="AL15" s="352"/>
      <c r="AM15" s="352"/>
      <c r="AN15" s="352"/>
      <c r="AO15" s="352"/>
      <c r="AP15" s="352"/>
      <c r="AQ15" s="352"/>
      <c r="AR15" s="352"/>
      <c r="AS15" s="352"/>
      <c r="AT15" s="352"/>
      <c r="AU15" s="352"/>
      <c r="AV15" s="352"/>
      <c r="AW15" s="352"/>
      <c r="AX15" s="352"/>
      <c r="AY15" s="352"/>
      <c r="AZ15" s="352"/>
      <c r="BA15" s="352"/>
    </row>
    <row r="16" spans="1:53" ht="21" customHeight="1">
      <c r="A16" s="307" t="s">
        <v>19</v>
      </c>
      <c r="B16" s="308" t="s">
        <v>271</v>
      </c>
      <c r="C16" s="309">
        <f t="shared" si="3"/>
        <v>0</v>
      </c>
      <c r="D16" s="309">
        <f t="shared" si="4"/>
        <v>0</v>
      </c>
      <c r="E16" s="309">
        <f t="shared" si="5"/>
        <v>0</v>
      </c>
      <c r="F16" s="309">
        <f t="shared" si="6"/>
        <v>0</v>
      </c>
      <c r="G16" s="309">
        <f t="shared" si="7"/>
        <v>0</v>
      </c>
      <c r="H16" s="309"/>
      <c r="I16" s="309"/>
      <c r="J16" s="309">
        <f t="shared" si="8"/>
        <v>0</v>
      </c>
      <c r="K16" s="309"/>
      <c r="L16" s="309"/>
      <c r="M16" s="309">
        <f t="shared" si="9"/>
        <v>0</v>
      </c>
      <c r="N16" s="309">
        <f t="shared" si="10"/>
        <v>0</v>
      </c>
      <c r="O16" s="309"/>
      <c r="P16" s="309"/>
      <c r="Q16" s="309">
        <f t="shared" si="11"/>
        <v>0</v>
      </c>
      <c r="R16" s="309"/>
      <c r="S16" s="309"/>
      <c r="T16" s="309">
        <f t="shared" si="12"/>
        <v>3584072</v>
      </c>
      <c r="U16" s="309">
        <f t="shared" si="13"/>
        <v>3584072</v>
      </c>
      <c r="V16" s="309">
        <f t="shared" si="14"/>
        <v>0</v>
      </c>
      <c r="W16" s="309">
        <f t="shared" si="15"/>
        <v>3584072</v>
      </c>
      <c r="X16" s="309">
        <f t="shared" si="16"/>
        <v>3584072</v>
      </c>
      <c r="Y16" s="309"/>
      <c r="Z16" s="309">
        <v>3584072</v>
      </c>
      <c r="AA16" s="309">
        <f t="shared" si="17"/>
        <v>0</v>
      </c>
      <c r="AB16" s="309"/>
      <c r="AC16" s="309"/>
      <c r="AD16" s="309">
        <f t="shared" si="18"/>
        <v>0</v>
      </c>
      <c r="AE16" s="309">
        <f t="shared" si="19"/>
        <v>0</v>
      </c>
      <c r="AF16" s="309"/>
      <c r="AG16" s="309"/>
      <c r="AH16" s="309">
        <f t="shared" si="20"/>
        <v>0</v>
      </c>
      <c r="AI16" s="309"/>
      <c r="AJ16" s="309"/>
      <c r="AK16" s="352"/>
      <c r="AL16" s="352"/>
      <c r="AM16" s="352"/>
      <c r="AN16" s="352"/>
      <c r="AO16" s="352"/>
      <c r="AP16" s="352"/>
      <c r="AQ16" s="352"/>
      <c r="AR16" s="352"/>
      <c r="AS16" s="352"/>
      <c r="AT16" s="352"/>
      <c r="AU16" s="352"/>
      <c r="AV16" s="352"/>
      <c r="AW16" s="352"/>
      <c r="AX16" s="352"/>
      <c r="AY16" s="352"/>
      <c r="AZ16" s="352"/>
      <c r="BA16" s="352"/>
    </row>
    <row r="17" spans="1:54" ht="21" customHeight="1">
      <c r="A17" s="307" t="s">
        <v>28</v>
      </c>
      <c r="B17" s="308" t="s">
        <v>274</v>
      </c>
      <c r="C17" s="309">
        <f t="shared" ref="C17" si="21">D17+E17</f>
        <v>0</v>
      </c>
      <c r="D17" s="309">
        <f t="shared" ref="D17" si="22">G17+N17</f>
        <v>0</v>
      </c>
      <c r="E17" s="309">
        <f t="shared" ref="E17" si="23">J17+Q17</f>
        <v>0</v>
      </c>
      <c r="F17" s="309">
        <f t="shared" ref="F17" si="24">G17+J17</f>
        <v>0</v>
      </c>
      <c r="G17" s="309">
        <f t="shared" ref="G17" si="25">H17+I17</f>
        <v>0</v>
      </c>
      <c r="H17" s="309"/>
      <c r="I17" s="309"/>
      <c r="J17" s="309">
        <f t="shared" ref="J17" si="26">K17+L17</f>
        <v>0</v>
      </c>
      <c r="K17" s="309"/>
      <c r="L17" s="309"/>
      <c r="M17" s="309">
        <f t="shared" ref="M17" si="27">N17+Q17</f>
        <v>0</v>
      </c>
      <c r="N17" s="309">
        <f t="shared" ref="N17" si="28">O17+P17</f>
        <v>0</v>
      </c>
      <c r="O17" s="309"/>
      <c r="P17" s="309"/>
      <c r="Q17" s="309">
        <f t="shared" ref="Q17" si="29">R17+S17</f>
        <v>0</v>
      </c>
      <c r="R17" s="309"/>
      <c r="S17" s="309"/>
      <c r="T17" s="309">
        <f t="shared" si="12"/>
        <v>10500000</v>
      </c>
      <c r="U17" s="309">
        <f t="shared" si="13"/>
        <v>10500000</v>
      </c>
      <c r="V17" s="309">
        <f t="shared" si="14"/>
        <v>0</v>
      </c>
      <c r="W17" s="309">
        <f t="shared" si="15"/>
        <v>0</v>
      </c>
      <c r="X17" s="309">
        <f t="shared" si="16"/>
        <v>0</v>
      </c>
      <c r="Y17" s="309"/>
      <c r="Z17" s="309"/>
      <c r="AA17" s="309">
        <f t="shared" si="17"/>
        <v>0</v>
      </c>
      <c r="AB17" s="309"/>
      <c r="AC17" s="309"/>
      <c r="AD17" s="309">
        <f t="shared" si="18"/>
        <v>10500000</v>
      </c>
      <c r="AE17" s="309">
        <f t="shared" si="19"/>
        <v>10500000</v>
      </c>
      <c r="AF17" s="309">
        <v>10500000</v>
      </c>
      <c r="AG17" s="309"/>
      <c r="AH17" s="309">
        <f t="shared" si="20"/>
        <v>0</v>
      </c>
      <c r="AI17" s="309"/>
      <c r="AJ17" s="309"/>
      <c r="AK17" s="352"/>
      <c r="AL17" s="352"/>
      <c r="AM17" s="352"/>
      <c r="AN17" s="352"/>
      <c r="AO17" s="352"/>
      <c r="AP17" s="352"/>
      <c r="AQ17" s="352"/>
      <c r="AR17" s="352"/>
      <c r="AS17" s="352"/>
      <c r="AT17" s="352"/>
      <c r="AU17" s="352"/>
      <c r="AV17" s="352"/>
      <c r="AW17" s="352"/>
      <c r="AX17" s="352"/>
      <c r="AY17" s="352"/>
      <c r="AZ17" s="352"/>
      <c r="BA17" s="352"/>
    </row>
    <row r="18" spans="1:54" s="303" customFormat="1" ht="21" customHeight="1">
      <c r="A18" s="304" t="s">
        <v>17</v>
      </c>
      <c r="B18" s="305" t="s">
        <v>65</v>
      </c>
      <c r="C18" s="306">
        <f t="shared" ref="C18:AJ18" si="30">SUM(C19:C21)</f>
        <v>212000000</v>
      </c>
      <c r="D18" s="306">
        <f t="shared" si="30"/>
        <v>0</v>
      </c>
      <c r="E18" s="306">
        <f t="shared" si="30"/>
        <v>212000000</v>
      </c>
      <c r="F18" s="306">
        <f t="shared" si="30"/>
        <v>0</v>
      </c>
      <c r="G18" s="306">
        <f t="shared" si="30"/>
        <v>0</v>
      </c>
      <c r="H18" s="306">
        <f t="shared" si="30"/>
        <v>0</v>
      </c>
      <c r="I18" s="306">
        <f t="shared" si="30"/>
        <v>0</v>
      </c>
      <c r="J18" s="306">
        <f t="shared" si="30"/>
        <v>0</v>
      </c>
      <c r="K18" s="306">
        <f t="shared" si="30"/>
        <v>0</v>
      </c>
      <c r="L18" s="306">
        <f t="shared" si="30"/>
        <v>0</v>
      </c>
      <c r="M18" s="306">
        <f t="shared" si="30"/>
        <v>212000000</v>
      </c>
      <c r="N18" s="306">
        <f t="shared" si="30"/>
        <v>0</v>
      </c>
      <c r="O18" s="306">
        <f t="shared" si="30"/>
        <v>0</v>
      </c>
      <c r="P18" s="306">
        <f t="shared" si="30"/>
        <v>0</v>
      </c>
      <c r="Q18" s="306">
        <f t="shared" si="30"/>
        <v>212000000</v>
      </c>
      <c r="R18" s="306">
        <f t="shared" si="30"/>
        <v>212000000</v>
      </c>
      <c r="S18" s="306">
        <f t="shared" si="30"/>
        <v>0</v>
      </c>
      <c r="T18" s="306">
        <f t="shared" si="30"/>
        <v>212000000</v>
      </c>
      <c r="U18" s="306">
        <f t="shared" si="30"/>
        <v>0</v>
      </c>
      <c r="V18" s="306">
        <f t="shared" si="30"/>
        <v>212000000</v>
      </c>
      <c r="W18" s="306">
        <f t="shared" si="30"/>
        <v>0</v>
      </c>
      <c r="X18" s="306">
        <f t="shared" si="30"/>
        <v>0</v>
      </c>
      <c r="Y18" s="306">
        <f t="shared" si="30"/>
        <v>0</v>
      </c>
      <c r="Z18" s="306">
        <f t="shared" si="30"/>
        <v>0</v>
      </c>
      <c r="AA18" s="306">
        <f t="shared" si="30"/>
        <v>0</v>
      </c>
      <c r="AB18" s="306">
        <f t="shared" si="30"/>
        <v>0</v>
      </c>
      <c r="AC18" s="306">
        <f t="shared" si="30"/>
        <v>0</v>
      </c>
      <c r="AD18" s="306">
        <f t="shared" si="30"/>
        <v>212000000</v>
      </c>
      <c r="AE18" s="306">
        <f t="shared" si="30"/>
        <v>0</v>
      </c>
      <c r="AF18" s="306">
        <f t="shared" si="30"/>
        <v>0</v>
      </c>
      <c r="AG18" s="306">
        <f t="shared" si="30"/>
        <v>0</v>
      </c>
      <c r="AH18" s="306">
        <f t="shared" si="30"/>
        <v>212000000</v>
      </c>
      <c r="AI18" s="306">
        <f t="shared" si="30"/>
        <v>212000000</v>
      </c>
      <c r="AJ18" s="306">
        <f t="shared" si="30"/>
        <v>0</v>
      </c>
      <c r="AK18" s="351">
        <f t="shared" ref="AK18:AK19" si="31">T18/C18</f>
        <v>1</v>
      </c>
      <c r="AL18" s="351"/>
      <c r="AM18" s="351">
        <f t="shared" ref="AM18" si="32">V18/E18</f>
        <v>1</v>
      </c>
      <c r="AN18" s="351"/>
      <c r="AO18" s="351"/>
      <c r="AP18" s="351"/>
      <c r="AQ18" s="351"/>
      <c r="AR18" s="351"/>
      <c r="AS18" s="351"/>
      <c r="AT18" s="351"/>
      <c r="AU18" s="351">
        <f t="shared" ref="AU18" si="33">AD18/M18</f>
        <v>1</v>
      </c>
      <c r="AV18" s="351"/>
      <c r="AW18" s="351"/>
      <c r="AX18" s="351"/>
      <c r="AY18" s="351">
        <f t="shared" ref="AY18" si="34">AH18/Q18</f>
        <v>1</v>
      </c>
      <c r="AZ18" s="351">
        <f t="shared" ref="AZ18" si="35">AI18/R18</f>
        <v>1</v>
      </c>
      <c r="BA18" s="351"/>
    </row>
    <row r="19" spans="1:54" ht="21" customHeight="1">
      <c r="A19" s="307" t="s">
        <v>11</v>
      </c>
      <c r="B19" s="308" t="s">
        <v>400</v>
      </c>
      <c r="C19" s="309">
        <f t="shared" ref="C19:C20" si="36">D19+E19</f>
        <v>70000000</v>
      </c>
      <c r="D19" s="309">
        <f t="shared" ref="D19:D20" si="37">G19+N19</f>
        <v>0</v>
      </c>
      <c r="E19" s="309">
        <f t="shared" ref="E19:E20" si="38">J19+Q19</f>
        <v>70000000</v>
      </c>
      <c r="F19" s="309">
        <f t="shared" ref="F19:F20" si="39">G19+J19</f>
        <v>0</v>
      </c>
      <c r="G19" s="309">
        <f t="shared" ref="G19:G20" si="40">H19+I19</f>
        <v>0</v>
      </c>
      <c r="H19" s="309"/>
      <c r="I19" s="309"/>
      <c r="J19" s="309">
        <f t="shared" ref="J19:J20" si="41">K19+L19</f>
        <v>0</v>
      </c>
      <c r="K19" s="309"/>
      <c r="L19" s="309"/>
      <c r="M19" s="309">
        <f t="shared" ref="M19:M20" si="42">N19+Q19</f>
        <v>70000000</v>
      </c>
      <c r="N19" s="309">
        <f t="shared" ref="N19:N20" si="43">O19+P19</f>
        <v>0</v>
      </c>
      <c r="O19" s="309"/>
      <c r="P19" s="309"/>
      <c r="Q19" s="309">
        <f t="shared" ref="Q19:Q20" si="44">R19+S19</f>
        <v>70000000</v>
      </c>
      <c r="R19" s="309">
        <v>70000000</v>
      </c>
      <c r="S19" s="309"/>
      <c r="T19" s="309">
        <f t="shared" ref="T19:T20" si="45">U19+V19</f>
        <v>70000000</v>
      </c>
      <c r="U19" s="309">
        <f t="shared" ref="U19:U20" si="46">W19+AE19</f>
        <v>0</v>
      </c>
      <c r="V19" s="309">
        <f t="shared" ref="V19:V20" si="47">AA19+AH19</f>
        <v>70000000</v>
      </c>
      <c r="W19" s="309">
        <f t="shared" ref="W19:W20" si="48">X19+AA19</f>
        <v>0</v>
      </c>
      <c r="X19" s="309">
        <f t="shared" ref="X19:X20" si="49">Y19+Z19</f>
        <v>0</v>
      </c>
      <c r="Y19" s="309"/>
      <c r="Z19" s="309"/>
      <c r="AA19" s="309">
        <f t="shared" ref="AA19:AA20" si="50">AB19+AC19</f>
        <v>0</v>
      </c>
      <c r="AB19" s="309"/>
      <c r="AC19" s="309"/>
      <c r="AD19" s="309">
        <f t="shared" ref="AD19:AD20" si="51">AE19+AH19</f>
        <v>70000000</v>
      </c>
      <c r="AE19" s="309">
        <f t="shared" ref="AE19:AE20" si="52">AF19+AG19</f>
        <v>0</v>
      </c>
      <c r="AF19" s="309"/>
      <c r="AG19" s="309"/>
      <c r="AH19" s="309">
        <f t="shared" ref="AH19:AH20" si="53">AI19+AJ19</f>
        <v>70000000</v>
      </c>
      <c r="AI19" s="309">
        <v>70000000</v>
      </c>
      <c r="AJ19" s="309"/>
      <c r="AK19" s="352">
        <f t="shared" si="31"/>
        <v>1</v>
      </c>
      <c r="AL19" s="352"/>
      <c r="AM19" s="352"/>
      <c r="AN19" s="352"/>
      <c r="AO19" s="352"/>
      <c r="AP19" s="352"/>
      <c r="AQ19" s="352"/>
      <c r="AR19" s="352"/>
      <c r="AS19" s="352"/>
      <c r="AT19" s="352"/>
      <c r="AU19" s="352"/>
      <c r="AV19" s="352"/>
      <c r="AW19" s="352"/>
      <c r="AX19" s="352"/>
      <c r="AY19" s="352"/>
      <c r="AZ19" s="352"/>
      <c r="BA19" s="352"/>
    </row>
    <row r="20" spans="1:54" ht="21" customHeight="1">
      <c r="A20" s="307" t="s">
        <v>19</v>
      </c>
      <c r="B20" s="308" t="s">
        <v>269</v>
      </c>
      <c r="C20" s="309">
        <f t="shared" si="36"/>
        <v>142000000</v>
      </c>
      <c r="D20" s="309">
        <f t="shared" si="37"/>
        <v>0</v>
      </c>
      <c r="E20" s="309">
        <f t="shared" si="38"/>
        <v>142000000</v>
      </c>
      <c r="F20" s="309">
        <f t="shared" si="39"/>
        <v>0</v>
      </c>
      <c r="G20" s="309">
        <f t="shared" si="40"/>
        <v>0</v>
      </c>
      <c r="H20" s="309"/>
      <c r="I20" s="309"/>
      <c r="J20" s="309">
        <f t="shared" si="41"/>
        <v>0</v>
      </c>
      <c r="K20" s="309"/>
      <c r="L20" s="309"/>
      <c r="M20" s="309">
        <f t="shared" si="42"/>
        <v>142000000</v>
      </c>
      <c r="N20" s="309">
        <f t="shared" si="43"/>
        <v>0</v>
      </c>
      <c r="O20" s="309"/>
      <c r="P20" s="309"/>
      <c r="Q20" s="309">
        <f t="shared" si="44"/>
        <v>142000000</v>
      </c>
      <c r="R20" s="309">
        <v>142000000</v>
      </c>
      <c r="S20" s="309"/>
      <c r="T20" s="309">
        <f t="shared" si="45"/>
        <v>142000000</v>
      </c>
      <c r="U20" s="309">
        <f t="shared" si="46"/>
        <v>0</v>
      </c>
      <c r="V20" s="309">
        <f t="shared" si="47"/>
        <v>142000000</v>
      </c>
      <c r="W20" s="309">
        <f t="shared" si="48"/>
        <v>0</v>
      </c>
      <c r="X20" s="309">
        <f t="shared" si="49"/>
        <v>0</v>
      </c>
      <c r="Y20" s="309"/>
      <c r="Z20" s="309"/>
      <c r="AA20" s="309">
        <f t="shared" si="50"/>
        <v>0</v>
      </c>
      <c r="AB20" s="309"/>
      <c r="AC20" s="309"/>
      <c r="AD20" s="309">
        <f t="shared" si="51"/>
        <v>142000000</v>
      </c>
      <c r="AE20" s="309">
        <f t="shared" si="52"/>
        <v>0</v>
      </c>
      <c r="AF20" s="309"/>
      <c r="AG20" s="309"/>
      <c r="AH20" s="309">
        <f t="shared" si="53"/>
        <v>142000000</v>
      </c>
      <c r="AI20" s="309">
        <v>142000000</v>
      </c>
      <c r="AJ20" s="309"/>
      <c r="AK20" s="352">
        <f t="shared" ref="AK20" si="54">T20/C20</f>
        <v>1</v>
      </c>
      <c r="AL20" s="352"/>
      <c r="AM20" s="352"/>
      <c r="AN20" s="352"/>
      <c r="AO20" s="352"/>
      <c r="AP20" s="352"/>
      <c r="AQ20" s="352"/>
      <c r="AR20" s="352"/>
      <c r="AS20" s="352"/>
      <c r="AT20" s="352"/>
      <c r="AU20" s="352">
        <f t="shared" ref="AU20" si="55">AD20/M20</f>
        <v>1</v>
      </c>
      <c r="AV20" s="352"/>
      <c r="AW20" s="352"/>
      <c r="AX20" s="352"/>
      <c r="AY20" s="352"/>
      <c r="AZ20" s="352"/>
      <c r="BA20" s="352"/>
    </row>
    <row r="21" spans="1:54">
      <c r="A21" s="310"/>
      <c r="B21" s="311"/>
      <c r="C21" s="312"/>
      <c r="D21" s="312"/>
      <c r="E21" s="312"/>
      <c r="F21" s="312"/>
      <c r="G21" s="312"/>
      <c r="H21" s="312"/>
      <c r="I21" s="312"/>
      <c r="J21" s="312"/>
      <c r="K21" s="312"/>
      <c r="L21" s="312"/>
      <c r="M21" s="312"/>
      <c r="N21" s="312"/>
      <c r="O21" s="312"/>
      <c r="P21" s="312"/>
      <c r="Q21" s="312"/>
      <c r="R21" s="312"/>
      <c r="S21" s="312"/>
      <c r="T21" s="312"/>
      <c r="U21" s="312"/>
      <c r="V21" s="353"/>
      <c r="W21" s="312"/>
      <c r="X21" s="312"/>
      <c r="Y21" s="312"/>
      <c r="Z21" s="312"/>
      <c r="AA21" s="312"/>
      <c r="AB21" s="312"/>
      <c r="AC21" s="312"/>
      <c r="AD21" s="312"/>
      <c r="AE21" s="312"/>
      <c r="AF21" s="312"/>
      <c r="AG21" s="312"/>
      <c r="AH21" s="312"/>
      <c r="AI21" s="312"/>
      <c r="AJ21" s="312"/>
      <c r="AK21" s="313"/>
      <c r="AL21" s="313"/>
      <c r="AM21" s="313"/>
      <c r="AN21" s="313"/>
      <c r="AO21" s="313"/>
      <c r="AP21" s="313"/>
      <c r="AQ21" s="313"/>
      <c r="AR21" s="313"/>
      <c r="AS21" s="313"/>
      <c r="AT21" s="313"/>
      <c r="AU21" s="313"/>
      <c r="AV21" s="313"/>
      <c r="AW21" s="313"/>
      <c r="AX21" s="313"/>
      <c r="AY21" s="313"/>
      <c r="AZ21" s="313"/>
      <c r="BA21" s="313"/>
    </row>
    <row r="22" spans="1:54">
      <c r="A22" s="415" t="s">
        <v>0</v>
      </c>
      <c r="B22" s="415"/>
      <c r="C22" s="415"/>
      <c r="D22" s="415"/>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c r="BA22" s="415"/>
      <c r="BB22" s="415"/>
    </row>
  </sheetData>
  <mergeCells count="75">
    <mergeCell ref="AU7:BA7"/>
    <mergeCell ref="AU3:BA3"/>
    <mergeCell ref="AU4:BA4"/>
    <mergeCell ref="AU8:BA8"/>
    <mergeCell ref="AZ10:BA10"/>
    <mergeCell ref="AN9:AN11"/>
    <mergeCell ref="AO9:AQ9"/>
    <mergeCell ref="AR9:AT9"/>
    <mergeCell ref="AO10:AO11"/>
    <mergeCell ref="AP10:AQ10"/>
    <mergeCell ref="AV10:AV11"/>
    <mergeCell ref="AW10:AX10"/>
    <mergeCell ref="AU9:AU11"/>
    <mergeCell ref="AK7:AT7"/>
    <mergeCell ref="G9:I9"/>
    <mergeCell ref="J9:L9"/>
    <mergeCell ref="U8:V8"/>
    <mergeCell ref="C3:S3"/>
    <mergeCell ref="C4:S4"/>
    <mergeCell ref="AL9:AL11"/>
    <mergeCell ref="AH3:AT3"/>
    <mergeCell ref="AH4:AT4"/>
    <mergeCell ref="AH10:AH11"/>
    <mergeCell ref="AK8:AK11"/>
    <mergeCell ref="AL8:AM8"/>
    <mergeCell ref="AN8:AT8"/>
    <mergeCell ref="AH7:AJ7"/>
    <mergeCell ref="X10:X11"/>
    <mergeCell ref="Y10:Z10"/>
    <mergeCell ref="AH9:AJ9"/>
    <mergeCell ref="AD8:AG8"/>
    <mergeCell ref="A22:BB22"/>
    <mergeCell ref="AR10:AR11"/>
    <mergeCell ref="AS10:AT10"/>
    <mergeCell ref="AV9:AX9"/>
    <mergeCell ref="AY9:BA9"/>
    <mergeCell ref="G10:G11"/>
    <mergeCell ref="H10:I10"/>
    <mergeCell ref="J10:J11"/>
    <mergeCell ref="K10:L10"/>
    <mergeCell ref="N10:N11"/>
    <mergeCell ref="O10:P10"/>
    <mergeCell ref="Q10:Q11"/>
    <mergeCell ref="A7:A11"/>
    <mergeCell ref="AY10:AY11"/>
    <mergeCell ref="AM9:AM11"/>
    <mergeCell ref="W9:W11"/>
    <mergeCell ref="E9:E11"/>
    <mergeCell ref="F9:F11"/>
    <mergeCell ref="M9:M11"/>
    <mergeCell ref="U9:U11"/>
    <mergeCell ref="R10:S10"/>
    <mergeCell ref="N9:P9"/>
    <mergeCell ref="V9:V11"/>
    <mergeCell ref="AB10:AC10"/>
    <mergeCell ref="AE10:AE11"/>
    <mergeCell ref="Q9:S9"/>
    <mergeCell ref="C7:S7"/>
    <mergeCell ref="T7:AG7"/>
    <mergeCell ref="B7:B11"/>
    <mergeCell ref="T8:T11"/>
    <mergeCell ref="D9:D11"/>
    <mergeCell ref="AH8:AJ8"/>
    <mergeCell ref="AI10:AJ10"/>
    <mergeCell ref="C8:C11"/>
    <mergeCell ref="X9:Z9"/>
    <mergeCell ref="AA9:AC9"/>
    <mergeCell ref="AD9:AD11"/>
    <mergeCell ref="AE9:AG9"/>
    <mergeCell ref="AF10:AG10"/>
    <mergeCell ref="D8:E8"/>
    <mergeCell ref="F8:L8"/>
    <mergeCell ref="M8:S8"/>
    <mergeCell ref="AA10:AA11"/>
    <mergeCell ref="W8:AC8"/>
  </mergeCells>
  <phoneticPr fontId="38" type="noConversion"/>
  <pageMargins left="0.61" right="0.16" top="0.46" bottom="0.44" header="0.2" footer="0.2"/>
  <pageSetup paperSize="9" scale="75" orientation="landscape" verticalDpi="0"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26</vt:i4>
      </vt:variant>
    </vt:vector>
  </HeadingPairs>
  <TitlesOfParts>
    <vt:vector size="35" baseType="lpstr">
      <vt:lpstr>48</vt:lpstr>
      <vt:lpstr>50</vt:lpstr>
      <vt:lpstr>51</vt:lpstr>
      <vt:lpstr>52</vt:lpstr>
      <vt:lpstr>53</vt:lpstr>
      <vt:lpstr>54</vt:lpstr>
      <vt:lpstr>58</vt:lpstr>
      <vt:lpstr>59</vt:lpstr>
      <vt:lpstr>61</vt:lpstr>
      <vt:lpstr>'58'!page\x2dtotal</vt:lpstr>
      <vt:lpstr>'59'!page\x2dtotal</vt:lpstr>
      <vt:lpstr>'61'!page\x2dtotal</vt:lpstr>
      <vt:lpstr>page\x2dtotal</vt:lpstr>
      <vt:lpstr>'58'!page\x2dtotal\x2dmaster0</vt:lpstr>
      <vt:lpstr>'59'!page\x2dtotal\x2dmaster0</vt:lpstr>
      <vt:lpstr>'61'!page\x2dtotal\x2dmaster0</vt:lpstr>
      <vt:lpstr>page\x2dtotal\x2dmaster0</vt:lpstr>
      <vt:lpstr>'48'!Print_Area</vt:lpstr>
      <vt:lpstr>'50'!Print_Area</vt:lpstr>
      <vt:lpstr>'51'!Print_Area</vt:lpstr>
      <vt:lpstr>'52'!Print_Area</vt:lpstr>
      <vt:lpstr>'53'!Print_Area</vt:lpstr>
      <vt:lpstr>'54'!Print_Area</vt:lpstr>
      <vt:lpstr>'58'!Print_Area</vt:lpstr>
      <vt:lpstr>'59'!Print_Area</vt:lpstr>
      <vt:lpstr>'61'!Print_Area</vt:lpstr>
      <vt:lpstr>'48'!Print_Titles</vt:lpstr>
      <vt:lpstr>'50'!Print_Titles</vt:lpstr>
      <vt:lpstr>'51'!Print_Titles</vt:lpstr>
      <vt:lpstr>'52'!Print_Titles</vt:lpstr>
      <vt:lpstr>'53'!Print_Titles</vt:lpstr>
      <vt:lpstr>'54'!Print_Titles</vt:lpstr>
      <vt:lpstr>'58'!Print_Titles</vt:lpstr>
      <vt:lpstr>'59'!Print_Titles</vt:lpstr>
      <vt:lpstr>'61'!Print_Titles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2020-04-10T09:01:29Z</dcterms:created>
  <dcterms:modified xsi:type="dcterms:W3CDTF">2022-07-01T03:04:03Z</dcterms:modified>
</cp:coreProperties>
</file>