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12" tabRatio="848" firstSheet="5" activeTab="5"/>
  </bookViews>
  <sheets>
    <sheet name="biểu số 01" sheetId="1" state="hidden" r:id="rId1"/>
    <sheet name="Biểu số 02" sheetId="2" state="hidden" r:id="rId2"/>
    <sheet name="biểu số 3" sheetId="3" state="hidden" r:id="rId3"/>
    <sheet name="Biểu số 4" sheetId="4" state="hidden" r:id="rId4"/>
    <sheet name="Biểu số 5" sheetId="5" state="hidden" r:id="rId5"/>
    <sheet name="PL1" sheetId="6" r:id="rId6"/>
    <sheet name="PL2" sheetId="7" r:id="rId7"/>
    <sheet name="PL3" sheetId="8" r:id="rId8"/>
    <sheet name="Sheet1" sheetId="9" r:id="rId9"/>
  </sheets>
  <definedNames>
    <definedName name="_xlnm.Print_Area" localSheetId="0">'biểu số 01'!$A$1:$J$111</definedName>
    <definedName name="_xlnm.Print_Area" localSheetId="1">'Biểu số 02'!$A$1:$K$105</definedName>
    <definedName name="_xlnm.Print_Area" localSheetId="2">'biểu số 3'!$A$1:$Q$90</definedName>
    <definedName name="_xlnm.Print_Area" localSheetId="3">'Biểu số 4'!$A$1:$E$45</definedName>
    <definedName name="_xlnm.Print_Area" localSheetId="5">'PL1'!$A$1:$K$118</definedName>
    <definedName name="_xlnm.Print_Area" localSheetId="6">'PL2'!$A$1:$K$104</definedName>
    <definedName name="_xlnm.Print_Area" localSheetId="7">'PL3'!$A$1:$J$36</definedName>
    <definedName name="_xlnm.Print_Titles" localSheetId="0">'biểu số 01'!$7:$7</definedName>
    <definedName name="_xlnm.Print_Titles" localSheetId="1">'Biểu số 02'!$7:$9</definedName>
    <definedName name="_xlnm.Print_Titles" localSheetId="2">'biểu số 3'!$5:$6</definedName>
    <definedName name="_xlnm.Print_Titles" localSheetId="3">'Biểu số 4'!$5:$6</definedName>
    <definedName name="_xlnm.Print_Titles" localSheetId="5">'PL1'!$5:$6</definedName>
    <definedName name="_xlnm.Print_Titles" localSheetId="6">'PL2'!$7:$8</definedName>
    <definedName name="_xlnm.Print_Titles" localSheetId="7">'PL3'!$6:$7</definedName>
  </definedNames>
  <calcPr fullCalcOnLoad="1"/>
</workbook>
</file>

<file path=xl/comments1.xml><?xml version="1.0" encoding="utf-8"?>
<comments xmlns="http://schemas.openxmlformats.org/spreadsheetml/2006/main">
  <authors>
    <author>AutoBVT</author>
  </authors>
  <commentList>
    <comment ref="G62" authorId="0">
      <text>
        <r>
          <rPr>
            <b/>
            <sz val="9"/>
            <rFont val="Tahoma"/>
            <family val="2"/>
          </rPr>
          <t>AutoBVT:</t>
        </r>
        <r>
          <rPr>
            <sz val="9"/>
            <rFont val="Tahoma"/>
            <family val="2"/>
          </rPr>
          <t xml:space="preserve">
ĐIỀU CHỈNH THEO NGHỊ QUYẾT VÌ SỐ 14,8 THẤP
</t>
        </r>
      </text>
    </comment>
    <comment ref="G43" authorId="0">
      <text>
        <r>
          <rPr>
            <b/>
            <sz val="9"/>
            <rFont val="Tahoma"/>
            <family val="2"/>
          </rPr>
          <t>AutoBVT:</t>
        </r>
        <r>
          <rPr>
            <sz val="9"/>
            <rFont val="Tahoma"/>
            <family val="2"/>
          </rPr>
          <t xml:space="preserve">
SỬA THEO NGHỊ QUYẾT
</t>
        </r>
      </text>
    </comment>
    <comment ref="G52" authorId="0">
      <text>
        <r>
          <rPr>
            <b/>
            <sz val="9"/>
            <rFont val="Tahoma"/>
            <family val="2"/>
          </rPr>
          <t>AutoBVT:</t>
        </r>
        <r>
          <rPr>
            <sz val="9"/>
            <rFont val="Tahoma"/>
            <family val="2"/>
          </rPr>
          <t xml:space="preserve">
THEO NGHỊ QUYẾT 36 CỦA HĐND HUYỆN
</t>
        </r>
      </text>
    </comment>
    <comment ref="F97" authorId="0">
      <text>
        <r>
          <rPr>
            <b/>
            <sz val="9"/>
            <rFont val="Tahoma"/>
            <family val="2"/>
          </rPr>
          <t>AutoBVT:</t>
        </r>
        <r>
          <rPr>
            <sz val="9"/>
            <rFont val="Tahoma"/>
            <family val="2"/>
          </rPr>
          <t xml:space="preserve">
78/93</t>
        </r>
      </text>
    </comment>
    <comment ref="G97" authorId="0">
      <text>
        <r>
          <rPr>
            <b/>
            <sz val="9"/>
            <rFont val="Tahoma"/>
            <family val="2"/>
          </rPr>
          <t>AutoBVT:</t>
        </r>
        <r>
          <rPr>
            <sz val="9"/>
            <rFont val="Tahoma"/>
            <family val="2"/>
          </rPr>
          <t xml:space="preserve">
79/93
</t>
        </r>
      </text>
    </comment>
  </commentList>
</comments>
</file>

<file path=xl/comments3.xml><?xml version="1.0" encoding="utf-8"?>
<comments xmlns="http://schemas.openxmlformats.org/spreadsheetml/2006/main">
  <authors>
    <author>AutoBVT</author>
    <author>ADMIN</author>
    <author>Admin</author>
  </authors>
  <commentList>
    <comment ref="F43" authorId="0">
      <text>
        <r>
          <rPr>
            <sz val="14"/>
            <rFont val="Times New Roman"/>
            <family val="1"/>
          </rPr>
          <t>DT năm 2020: 368,8 ha
DT xã trồng 217,8 ha
DT nông trường Đ.Long là 174 ha
DT trồng mới 2021: 23 ha</t>
        </r>
      </text>
    </comment>
    <comment ref="G43" authorId="0">
      <text>
        <r>
          <rPr>
            <sz val="14"/>
            <rFont val="Times New Roman"/>
            <family val="1"/>
          </rPr>
          <t>DT năm 2020:43,7 ha
DT trồng mới 10,3 ha</t>
        </r>
      </text>
    </comment>
    <comment ref="I43" authorId="0">
      <text>
        <r>
          <rPr>
            <sz val="12"/>
            <rFont val="Tahoma"/>
            <family val="2"/>
          </rPr>
          <t>DT năm 2020: 26,2 ha
DT chặt bỏ 02 ha
DT trồng mới 0,5 ha</t>
        </r>
      </text>
    </comment>
    <comment ref="K43" authorId="0">
      <text>
        <r>
          <rPr>
            <sz val="9"/>
            <rFont val="Tahoma"/>
            <family val="2"/>
          </rPr>
          <t xml:space="preserve">DT năm 2020: 28,5 ha
DT trồng mới 8,7 ha
</t>
        </r>
      </text>
    </comment>
    <comment ref="L43" authorId="0">
      <text>
        <r>
          <rPr>
            <sz val="12"/>
            <rFont val="Tahoma"/>
            <family val="2"/>
          </rPr>
          <t>DT năm 2020: 261,7 ha
DT chặt bỏ: 02 ha
DT trồng mới 03 ha</t>
        </r>
        <r>
          <rPr>
            <sz val="9"/>
            <rFont val="Tahoma"/>
            <family val="2"/>
          </rPr>
          <t xml:space="preserve">
</t>
        </r>
      </text>
    </comment>
    <comment ref="M43" authorId="0">
      <text>
        <r>
          <rPr>
            <sz val="14"/>
            <rFont val="Times New Roman"/>
            <family val="1"/>
          </rPr>
          <t>DT năm 2020: 128,2 ha
DT chặt bỏ năm 2021 là 0,91 ha</t>
        </r>
      </text>
    </comment>
    <comment ref="P43" authorId="0">
      <text>
        <r>
          <rPr>
            <sz val="9"/>
            <rFont val="Tahoma"/>
            <family val="2"/>
          </rPr>
          <t xml:space="preserve">DT năm 2020: 135 ha
DT chặt bỏ 0,7 ha
DT trồng mới 0,2 ha
</t>
        </r>
      </text>
    </comment>
    <comment ref="Q43" authorId="0">
      <text>
        <r>
          <rPr>
            <sz val="9"/>
            <rFont val="Tahoma"/>
            <family val="2"/>
          </rPr>
          <t>DT năm 2021: 110,5 ha
DT chặt boe 2021 là 2,2 ha</t>
        </r>
      </text>
    </comment>
    <comment ref="E46" authorId="1">
      <text>
        <r>
          <rPr>
            <b/>
            <sz val="9"/>
            <rFont val="Tahoma"/>
            <family val="2"/>
          </rPr>
          <t>ADMIN:</t>
        </r>
        <r>
          <rPr>
            <sz val="9"/>
            <rFont val="Tahoma"/>
            <family val="2"/>
          </rPr>
          <t xml:space="preserve">
THEO SỐ LiỆU HiỆN CÓ 2020 TRONG ĐƯỢC 5,3 HA</t>
        </r>
      </text>
    </comment>
    <comment ref="F48" authorId="0">
      <text>
        <r>
          <rPr>
            <sz val="12"/>
            <rFont val="Tahoma"/>
            <family val="2"/>
          </rPr>
          <t>DT năm 2020: 185,6 ha
DT trồng mới năm 2021: 10,3</t>
        </r>
        <r>
          <rPr>
            <sz val="9"/>
            <rFont val="Tahoma"/>
            <family val="2"/>
          </rPr>
          <t xml:space="preserve">
</t>
        </r>
      </text>
    </comment>
    <comment ref="G48" authorId="0">
      <text>
        <r>
          <rPr>
            <sz val="12"/>
            <rFont val="Tahoma"/>
            <family val="2"/>
          </rPr>
          <t>DT năm 2020: 555,5 ha
DT trồng mới năm 2021: 33 ha</t>
        </r>
      </text>
    </comment>
    <comment ref="G62" authorId="2">
      <text>
        <r>
          <rPr>
            <b/>
            <sz val="9"/>
            <rFont val="Tahoma"/>
            <family val="2"/>
          </rPr>
          <t>Admin:</t>
        </r>
        <r>
          <rPr>
            <sz val="9"/>
            <rFont val="Tahoma"/>
            <family val="2"/>
          </rPr>
          <t xml:space="preserve">
xã 543,5 ha , công ty cao su 344,6 ha</t>
        </r>
      </text>
    </comment>
  </commentList>
</comments>
</file>

<file path=xl/comments5.xml><?xml version="1.0" encoding="utf-8"?>
<comments xmlns="http://schemas.openxmlformats.org/spreadsheetml/2006/main">
  <authors>
    <author>Admin</author>
  </authors>
  <commentList>
    <comment ref="B11" authorId="0">
      <text>
        <r>
          <rPr>
            <b/>
            <sz val="9"/>
            <rFont val="Tahoma"/>
            <family val="2"/>
          </rPr>
          <t>Admin:</t>
        </r>
        <r>
          <rPr>
            <sz val="9"/>
            <rFont val="Tahoma"/>
            <family val="2"/>
          </rPr>
          <t xml:space="preserve">
chỉnh số theo Thông báo của sở KHĐT</t>
        </r>
      </text>
    </comment>
  </commentList>
</comments>
</file>

<file path=xl/comments7.xml><?xml version="1.0" encoding="utf-8"?>
<comments xmlns="http://schemas.openxmlformats.org/spreadsheetml/2006/main">
  <authors>
    <author>AutoBVT</author>
  </authors>
  <commentList>
    <comment ref="E43" authorId="0">
      <text>
        <r>
          <rPr>
            <b/>
            <sz val="9"/>
            <rFont val="Tahoma"/>
            <family val="2"/>
          </rPr>
          <t>AutoBVT:</t>
        </r>
        <r>
          <rPr>
            <sz val="9"/>
            <rFont val="Tahoma"/>
            <family val="2"/>
          </rPr>
          <t xml:space="preserve">
Năm 2021: Diện tích chặt bỏ 9,9 ha</t>
        </r>
      </text>
    </comment>
  </commentList>
</comments>
</file>

<file path=xl/sharedStrings.xml><?xml version="1.0" encoding="utf-8"?>
<sst xmlns="http://schemas.openxmlformats.org/spreadsheetml/2006/main" count="1602" uniqueCount="368">
  <si>
    <t>TT</t>
  </si>
  <si>
    <t>Chỉ tiêu</t>
  </si>
  <si>
    <t>Đơn vị</t>
  </si>
  <si>
    <t>I</t>
  </si>
  <si>
    <t>Tỷ đồng</t>
  </si>
  <si>
    <t>Nông, lâm, thủy sản</t>
  </si>
  <si>
    <t>Công nghiệp, xây dựng</t>
  </si>
  <si>
    <t>Thương mại - Dịch vụ</t>
  </si>
  <si>
    <t>%</t>
  </si>
  <si>
    <t>-</t>
  </si>
  <si>
    <t>Tổng sản lượng lương thực có hạt</t>
  </si>
  <si>
    <t>tấn</t>
  </si>
  <si>
    <t>Lương thực bình quân đầu người/năm</t>
  </si>
  <si>
    <t>kg/năm</t>
  </si>
  <si>
    <t>Thu nhập bình quân đầu người/năm</t>
  </si>
  <si>
    <t>Tổng mức bán lẻ hàng hóa và doanh thu dịch vụ</t>
  </si>
  <si>
    <t>II</t>
  </si>
  <si>
    <t xml:space="preserve"> Dân số trung bình trong năm</t>
  </si>
  <si>
    <t>Người</t>
  </si>
  <si>
    <t>Tỷ lệ tăng dân số tự nhiên</t>
  </si>
  <si>
    <t xml:space="preserve"> Mức giảm tỷ lệ hộ nghèo trong năm</t>
  </si>
  <si>
    <t xml:space="preserve"> Tỷ lệ bao phủ BHYT</t>
  </si>
  <si>
    <t xml:space="preserve"> Số bác sĩ /10.000 dân</t>
  </si>
  <si>
    <t>Tỷ lệ xã đạt bộ tiêu chí quốc gia về y tế xã giai đoạn 2011-2020</t>
  </si>
  <si>
    <t xml:space="preserve">Tỷ lệ trẻ em dưới 5 tuổi suy dinh dưỡng (cân nặng theo tuổi) </t>
  </si>
  <si>
    <t xml:space="preserve"> Tổng số học sinh có mặt trên địa bàn</t>
  </si>
  <si>
    <t>III</t>
  </si>
  <si>
    <t xml:space="preserve">TỔNG HỢP MỘT SỐ CHỈ TIÊU </t>
  </si>
  <si>
    <t>Kế hoạch</t>
  </si>
  <si>
    <t xml:space="preserve"> ƯTH cả năm</t>
  </si>
  <si>
    <t>A</t>
  </si>
  <si>
    <t>ha</t>
  </si>
  <si>
    <t>Tấn</t>
  </si>
  <si>
    <t>Trong đó: Thóc</t>
  </si>
  <si>
    <t>Cây lương thực</t>
  </si>
  <si>
    <t>a</t>
  </si>
  <si>
    <t>Cây lúa cả năm</t>
  </si>
  <si>
    <t>Năng suất</t>
  </si>
  <si>
    <t>tạ/ha</t>
  </si>
  <si>
    <t>Sản lượng</t>
  </si>
  <si>
    <t>Lúa vụ mùa</t>
  </si>
  <si>
    <t xml:space="preserve">          + Lúa ruộng</t>
  </si>
  <si>
    <t xml:space="preserve">         + Lúa nà thổ</t>
  </si>
  <si>
    <t>b</t>
  </si>
  <si>
    <t>Cây ngô cả năm</t>
  </si>
  <si>
    <t>Cây ngô vụ đông xuân</t>
  </si>
  <si>
    <t>Cây ngô vụ mùa</t>
  </si>
  <si>
    <t>TĐ - DT trồng mới</t>
  </si>
  <si>
    <t>tạ / ha</t>
  </si>
  <si>
    <t>c</t>
  </si>
  <si>
    <t>Con</t>
  </si>
  <si>
    <t>Diện tích nuôi ao hồ nhỏ</t>
  </si>
  <si>
    <t>- Số tiêu chí nông thôn mới bình quân đạt được bình quân/xã</t>
  </si>
  <si>
    <t>Tiêu chí</t>
  </si>
  <si>
    <t>- Số xã đạt chuẩn nông thôn mới</t>
  </si>
  <si>
    <t>xã</t>
  </si>
  <si>
    <t>- Tỷ lệ số xã đạt chuẩn nông thôn mới</t>
  </si>
  <si>
    <t>B</t>
  </si>
  <si>
    <t>CÔNG NGHIỆP</t>
  </si>
  <si>
    <t>Công nghiệp khai thác</t>
  </si>
  <si>
    <t>Khai thác đát, cát, sỏi</t>
  </si>
  <si>
    <t>Công nghiệp chế biến</t>
  </si>
  <si>
    <t>May mặc trang phục quy chuẩn</t>
  </si>
  <si>
    <t>1.000 bộ</t>
  </si>
  <si>
    <t>Xay xát lương thực</t>
  </si>
  <si>
    <t>Sản xuất bún, phở, bánh mì</t>
  </si>
  <si>
    <t>Sản xuất gạch nung, không nung</t>
  </si>
  <si>
    <t>1.000 viên</t>
  </si>
  <si>
    <t>Tổng sản lượng điện thương phẩm</t>
  </si>
  <si>
    <t>1.000kw/h</t>
  </si>
  <si>
    <t>C</t>
  </si>
  <si>
    <t>DỊCH VỤ</t>
  </si>
  <si>
    <t>Vận tải</t>
  </si>
  <si>
    <t>Vận tải hàng hóa</t>
  </si>
  <si>
    <t>Khối lượng vận chuyển</t>
  </si>
  <si>
    <t>1.000Tấn</t>
  </si>
  <si>
    <t>Khối lượng luân chuyển</t>
  </si>
  <si>
    <t>1.000Tấn.km</t>
  </si>
  <si>
    <t>Vận tải hành khách</t>
  </si>
  <si>
    <t>1.000HK</t>
  </si>
  <si>
    <t>1.000HK.km</t>
  </si>
  <si>
    <t>Biểu số: 02</t>
  </si>
  <si>
    <t>ĐVT</t>
  </si>
  <si>
    <t>Đăk Long</t>
  </si>
  <si>
    <t>Đăk Môn</t>
  </si>
  <si>
    <t>Đăk Kroong</t>
  </si>
  <si>
    <t>Thị trấn</t>
  </si>
  <si>
    <t>Đăk Pek</t>
  </si>
  <si>
    <t>Đăk Nhoong</t>
  </si>
  <si>
    <t>Đăk Man</t>
  </si>
  <si>
    <t>Đăk Choong</t>
  </si>
  <si>
    <t>Xã Xốp</t>
  </si>
  <si>
    <t>Mường Hoong</t>
  </si>
  <si>
    <t>Ngọc Linh</t>
  </si>
  <si>
    <t>TRỒNG TRỌT</t>
  </si>
  <si>
    <t>*</t>
  </si>
  <si>
    <t>Tổng diện tích gieo trồng một số cây trồng chính</t>
  </si>
  <si>
    <t>Ha</t>
  </si>
  <si>
    <t>1.1</t>
  </si>
  <si>
    <t>Tạ/ha</t>
  </si>
  <si>
    <t>1.2</t>
  </si>
  <si>
    <t>Cây lâu năm</t>
  </si>
  <si>
    <t>4.1</t>
  </si>
  <si>
    <t>4.2</t>
  </si>
  <si>
    <t>4.3</t>
  </si>
  <si>
    <t>4.4</t>
  </si>
  <si>
    <t>CHĂN NUÔI</t>
  </si>
  <si>
    <t>THỦY SẢN</t>
  </si>
  <si>
    <t>Tổng sản lượng thủy sản</t>
  </si>
  <si>
    <t>Nuôi trồng thủy sản</t>
  </si>
  <si>
    <t>Sản lượng nuôi trồng thủy sản</t>
  </si>
  <si>
    <t>Khai thác thủy sản</t>
  </si>
  <si>
    <t>Biểu số: 03</t>
  </si>
  <si>
    <t>Dân số</t>
  </si>
  <si>
    <r>
      <t xml:space="preserve"> Giáo dục </t>
    </r>
    <r>
      <rPr>
        <sz val="13"/>
        <rFont val="Times New Roman"/>
        <family val="1"/>
      </rPr>
      <t>(hệ công lập và ngoài công lập)</t>
    </r>
  </si>
  <si>
    <t xml:space="preserve"> Tổng số HS có mặt đầu năm do huyện quản lý</t>
  </si>
  <si>
    <t>Học sinh</t>
  </si>
  <si>
    <t xml:space="preserve"> Giáo dục Mầm non</t>
  </si>
  <si>
    <t xml:space="preserve"> - Nhà trẻ</t>
  </si>
  <si>
    <t xml:space="preserve">  Trong đó công lập</t>
  </si>
  <si>
    <t xml:space="preserve"> - Mẫu giáo</t>
  </si>
  <si>
    <t xml:space="preserve"> Giáo dục phổ thông</t>
  </si>
  <si>
    <t xml:space="preserve"> - Tiểu học</t>
  </si>
  <si>
    <t xml:space="preserve"> - Trung học cơ sở</t>
  </si>
  <si>
    <t xml:space="preserve"> Bổ túc văn hóa</t>
  </si>
  <si>
    <t xml:space="preserve"> - Trung học phổ thông</t>
  </si>
  <si>
    <t xml:space="preserve"> Bảo vệ chăm sóc trẻ em</t>
  </si>
  <si>
    <t xml:space="preserve"> Số xã, phường, thị trấn triển khai 
chương trình hành động vì trẻ em</t>
  </si>
  <si>
    <t>IV</t>
  </si>
  <si>
    <t xml:space="preserve"> Trong đó:</t>
  </si>
  <si>
    <t xml:space="preserve"> - Bệnh viện</t>
  </si>
  <si>
    <t xml:space="preserve"> - Phòng khám đa khoa khu vực</t>
  </si>
  <si>
    <t xml:space="preserve"> - Trạm y tế</t>
  </si>
  <si>
    <t>Biểu số: 04</t>
  </si>
  <si>
    <t>ĐVT: người</t>
  </si>
  <si>
    <t>Chia ra xã</t>
  </si>
  <si>
    <t xml:space="preserve">Đăk Blô </t>
  </si>
  <si>
    <t>Dân số có mặt đầu năm</t>
  </si>
  <si>
    <t>Dân số tăng trong năm</t>
  </si>
  <si>
    <t>- Tăng cơ học</t>
  </si>
  <si>
    <t>- Tăng tự nhiên</t>
  </si>
  <si>
    <t>Dân số có mặt cuối năm</t>
  </si>
  <si>
    <t>Dân số trung bình trong năm</t>
  </si>
  <si>
    <t>Tỷ lệ tăng dân số tự nhiên bình quân (%)</t>
  </si>
  <si>
    <t>Cây cao su</t>
  </si>
  <si>
    <t>Cây cà phê</t>
  </si>
  <si>
    <t>Tổng giá trị sản xuất theo giá so sánh 2010</t>
  </si>
  <si>
    <t>+</t>
  </si>
  <si>
    <t>Cơ cấu tổng giá trị sản xuất theo giá hiện hành</t>
  </si>
  <si>
    <t>CHỈ TIÊU VĂN HÓA - XÃ HỘI</t>
  </si>
  <si>
    <t xml:space="preserve"> Tỷ lệ hộ nghèo</t>
  </si>
  <si>
    <t>CÁC CHỈ TIÊU VỀ MÔI TRƯỜNG</t>
  </si>
  <si>
    <t>CHỈ TIÊU VỀ KINH TẾ</t>
  </si>
  <si>
    <t>Diện tích nuôi mặt nước lớn</t>
  </si>
  <si>
    <t>Kế hoạch giường bệnh</t>
  </si>
  <si>
    <t xml:space="preserve"> Tổng số giường bệnh</t>
  </si>
  <si>
    <t>Giường</t>
  </si>
  <si>
    <t>(*) Kết quả thực hiện không tính vào kế hoạch sản xuất năm 2019</t>
  </si>
  <si>
    <t>Tổng số trẻ em có hoàn cảnh đặc biệt khó khăn được hưởng trợ cấp tại cộng đồng</t>
  </si>
  <si>
    <t>Số trẻ em không nơi nương tựa được nuôi dưỡng tại cộng đồng</t>
  </si>
  <si>
    <t>trẻ</t>
  </si>
  <si>
    <t>- Tỷ lệ giáo viên, nhân viên nuôi dưỡng tại các cơ sở giáo dục mầm non có khả năng tư vấn về chăm sóc trẻ nhỏ và thực hành tương tác sớm</t>
  </si>
  <si>
    <t>- Tỷ lệ cán bộ quản lý giáo dục, giáo viên mầm non có kiến thức và kỹ năng triển khai dạy và học phát triển tình cảm, kỹ năng tình cảm xã hội cho trẻ mầm non</t>
  </si>
  <si>
    <t>- Tỷ lệ trẻ em khuyết tật học hòa nhập trong các trường mẫu giáo, tiểu học, trung học cơ sở và phổ thông trung học</t>
  </si>
  <si>
    <t>Cây dược liệu</t>
  </si>
  <si>
    <t>(**) Kết quả thực hiện không tính vào kế hoạch sản xuất năm 2020</t>
  </si>
  <si>
    <t>m3</t>
  </si>
  <si>
    <t>Tổng số lồng nuôi thủy sản</t>
  </si>
  <si>
    <t>Lồng</t>
  </si>
  <si>
    <t>tạ/lồng</t>
  </si>
  <si>
    <t>Dạy nghề lao động nông thôn (QĐ 1956)</t>
  </si>
  <si>
    <t>KTHT K BÁO CÁO</t>
  </si>
  <si>
    <t xml:space="preserve">Cây ăn quả </t>
  </si>
  <si>
    <t>Cây mắc ca</t>
  </si>
  <si>
    <t>Lúa Đông Xuân</t>
  </si>
  <si>
    <t>LÂM NGHIỆP</t>
  </si>
  <si>
    <t>D</t>
  </si>
  <si>
    <t>Tỷ lệ trường đạt chuẩn quốc gia</t>
  </si>
  <si>
    <t>Tỷ lệ độ che phủ rừng (có tính cây cao su)</t>
  </si>
  <si>
    <t>Tỷ lệ hộ gia đình ở khu vực nông thôn sử dụng nước hợp vệ sinh</t>
  </si>
  <si>
    <t>Thu ngân sách nhà nước trên địa bàn</t>
  </si>
  <si>
    <t>Thực hiện  2020</t>
  </si>
  <si>
    <t>Năm 2021</t>
  </si>
  <si>
    <t xml:space="preserve">Kế hoạch
</t>
  </si>
  <si>
    <t>ƯTH cả năm</t>
  </si>
  <si>
    <t>KH 2022/ƯTH 2021</t>
  </si>
  <si>
    <t>ƯTH 2021/KH 2021</t>
  </si>
  <si>
    <t>ƯTH 2021/ TH 2020</t>
  </si>
  <si>
    <t>9=7/4</t>
  </si>
  <si>
    <t>10=7/5</t>
  </si>
  <si>
    <t>11=8/7</t>
  </si>
  <si>
    <t>Kế hoạch 2022</t>
  </si>
  <si>
    <t xml:space="preserve"> Dân số trung bình </t>
  </si>
  <si>
    <t>Lao động việc làm</t>
  </si>
  <si>
    <t>Số người được giải quyết việc làm (tăng thêm trong năm)</t>
  </si>
  <si>
    <t>Số hộ nghèo</t>
  </si>
  <si>
    <t>Giảm nghèo</t>
  </si>
  <si>
    <t>Hộ</t>
  </si>
  <si>
    <t>Số hộ cận nghèo</t>
  </si>
  <si>
    <t xml:space="preserve"> Tỷ lệ hộ cận nghèo</t>
  </si>
  <si>
    <t>Y tế</t>
  </si>
  <si>
    <t>Tỷ lệ bao phủ bảo hiểm thất nghiệp</t>
  </si>
  <si>
    <t xml:space="preserve"> Tỷ lệ bao phủ bảo hiểm xã hội</t>
  </si>
  <si>
    <t>Tỷ lệ TYT xã, thị trấn có bác sỹ làm việc</t>
  </si>
  <si>
    <t>Tỷ lệ trẻ em dưới 5 tuổi suy dinh dưỡng thể thấp còi</t>
  </si>
  <si>
    <t>Giáo dục và Đào tạo</t>
  </si>
  <si>
    <t xml:space="preserve"> Tổng số học sinh đầu năm học</t>
  </si>
  <si>
    <t>Tỷ lệ học sinh đi học đúng độ tuổi</t>
  </si>
  <si>
    <t>Văn hóa, thể thao - Thông tin</t>
  </si>
  <si>
    <t>Tỷ lệ hộ dân được sử dụng điện</t>
  </si>
  <si>
    <t>Tỷ lệ hộ dân tộc thiểu số có đất ở</t>
  </si>
  <si>
    <t>Tỷ lệ hộ dân tộc thiểu số có đất sản xuất</t>
  </si>
  <si>
    <t>Tý lệ rác thải sinh hoạt (ở đô thị và nông thôn) được thu gom và xử lý</t>
  </si>
  <si>
    <t>Tỷ lệ cơ sở sản xuất kinh doanh đạt tiêu chuẩn về môi trường</t>
  </si>
  <si>
    <t>Thu gom chất thải rắn ở đô thị</t>
  </si>
  <si>
    <t>Tỷ lệ xử lý triệt để cơ sở gây ô nhiễm môi trường nghiêm trọng</t>
  </si>
  <si>
    <t>CHỈ TIÊU QUỐC PHÒNG, AN NINH</t>
  </si>
  <si>
    <t>Tỷ lệ xã, thị trấn mạnh về phong trào toàn dân bảo vệ an ninh Tổ quốc</t>
  </si>
  <si>
    <t>Tỷ lệ điều tra, khám phá án</t>
  </si>
  <si>
    <t>CÁC CHỈ TIÊU NÔNG NGHIỆP, CÔNG NGHIỆP, DỊCH VỤ NĂM 2022</t>
  </si>
  <si>
    <t>Kế hoạch năm 2022</t>
  </si>
  <si>
    <t xml:space="preserve"> Cây sắn</t>
  </si>
  <si>
    <t>Rau</t>
  </si>
  <si>
    <t>Vụ Đông Xuân</t>
  </si>
  <si>
    <t>Vụ mùa</t>
  </si>
  <si>
    <t>Trong đó: Diện tích rồng mới</t>
  </si>
  <si>
    <t xml:space="preserve"> Sâm Ngọc Linh</t>
  </si>
  <si>
    <t xml:space="preserve"> Các loại dược liệu khác</t>
  </si>
  <si>
    <t xml:space="preserve">      - DT cho thu hoạch</t>
  </si>
  <si>
    <t>5.1</t>
  </si>
  <si>
    <t>5.2</t>
  </si>
  <si>
    <t>Tổng đàn</t>
  </si>
  <si>
    <t>Trâu</t>
  </si>
  <si>
    <t>Bò</t>
  </si>
  <si>
    <t>Lợn</t>
  </si>
  <si>
    <t>1.3</t>
  </si>
  <si>
    <t>PHÁT TRIỂN NÔNG THÔN</t>
  </si>
  <si>
    <t>E</t>
  </si>
  <si>
    <t xml:space="preserve"> Trồng mới rừng</t>
  </si>
  <si>
    <t>F</t>
  </si>
  <si>
    <t>MỘT SỐ CHỈ TIÊU KẾ HOẠCH PHÁT TRIỂN 
KINH TẾ - XÃ HỘI NĂM 2022</t>
  </si>
  <si>
    <t>KẾ HOẠCH PHÁT TRIỂN DÂN SỐ NĂM 2022</t>
  </si>
  <si>
    <t xml:space="preserve"> Mầm non</t>
  </si>
  <si>
    <t>Tiểu học</t>
  </si>
  <si>
    <t>Trung học Cơ sở</t>
  </si>
  <si>
    <t>Trung học cơ sở</t>
  </si>
  <si>
    <t>Giáo dục nhà trẻ</t>
  </si>
  <si>
    <t>Giáo dục mẫu giáo</t>
  </si>
  <si>
    <t>Giáo dục THCS</t>
  </si>
  <si>
    <t>Giáo dục PTTH</t>
  </si>
  <si>
    <t>Hợp tác xã</t>
  </si>
  <si>
    <t>Tổng số  hợp tác xã</t>
  </si>
  <si>
    <t>+ Số hợp tác xã thành lập mới</t>
  </si>
  <si>
    <t>+ Số hợp tác xã giải thể</t>
  </si>
  <si>
    <t>Tổng số lao động trong hợp tác xã</t>
  </si>
  <si>
    <t>Tỷ lệ hộ dân tộc thiểu số tham gia vào hợp tác xã</t>
  </si>
  <si>
    <t xml:space="preserve">Tổ hợp tác </t>
  </si>
  <si>
    <t>Tổng số tổ hợp tác</t>
  </si>
  <si>
    <t xml:space="preserve">Tổng số thành viên tổ hợp tác </t>
  </si>
  <si>
    <t>Thành viên</t>
  </si>
  <si>
    <t>Phát triển doanh nghiệp</t>
  </si>
  <si>
    <t>Số doanh nghiệp thành lập mới trên địa bàn</t>
  </si>
  <si>
    <t>Doanh nghiệp</t>
  </si>
  <si>
    <t>Tổng số vốn đăng ký của doanh nghiệp  thành lập mới</t>
  </si>
  <si>
    <t>Sản phẩm</t>
  </si>
  <si>
    <t>Cấp tỉnh</t>
  </si>
  <si>
    <t>Cấp huyện</t>
  </si>
  <si>
    <t>Số hộ thoát khỏi nghèo trong năm</t>
  </si>
  <si>
    <t>Tỷ lệ học sinh tốt nghiệp trung học cơ sở chuyển sang học nghề</t>
  </si>
  <si>
    <t>Tỷ lệ tử vong trẻ em dưới 5 tuổi</t>
  </si>
  <si>
    <t>‰</t>
  </si>
  <si>
    <t>Tỷ lệ tử vong trẻ em dưới 1 tuổi</t>
  </si>
  <si>
    <t>Biểu số: 01</t>
  </si>
  <si>
    <t>So sánh %</t>
  </si>
  <si>
    <t>KINH TẾ - XÃ HỘI, MÔI TRƯỜNG CHỦ YẾU NĂM 2022</t>
  </si>
  <si>
    <t>Theo giá so sánh năm 2010</t>
  </si>
  <si>
    <t>Theo giá hiện hành</t>
  </si>
  <si>
    <r>
      <t>Ghi chú:</t>
    </r>
    <r>
      <rPr>
        <i/>
        <sz val="14"/>
        <rFont val="Times New Roman"/>
        <family val="1"/>
      </rPr>
      <t xml:space="preserve">
(*) Diện tích cây cà phê xã Đăk Long tổng số 168 ha, trong đó:Nông trường cà phee Đăk Long là 174 ha,
(**) Diện tích cây cao su đại điền 3 xã (Đăk Môn, Đăk Long, Đăk Kroong) của Công ty Cao sư Kon Tum là 344,6 ha 
(***) Xã Mường Hoong còn 2 thôn/làng chưa có điện lưới quốc gia (Đăk Bối và Mô Bo)</t>
    </r>
  </si>
  <si>
    <t>ƯTH 2021/ KH 2021</t>
  </si>
  <si>
    <t>KH 2022/ ƯTH 2021</t>
  </si>
  <si>
    <t>10=7/4</t>
  </si>
  <si>
    <t>11=7/5</t>
  </si>
  <si>
    <t>12=8/7</t>
  </si>
  <si>
    <t xml:space="preserve">Tỷ lệ giải quyết tố giác, tin báo về tội phạm, kiến nghị khởi tố hàng năm </t>
  </si>
  <si>
    <t>Sản phẩm OCOP (lũy kế)</t>
  </si>
  <si>
    <t>&lt;56</t>
  </si>
  <si>
    <t>&lt;35,5</t>
  </si>
  <si>
    <t>Tốc độ tăng trưởng GTSX của các ngành (theo giá so sánh năm 2010)</t>
  </si>
  <si>
    <t>Tổng số</t>
  </si>
  <si>
    <t>Đăk Blô</t>
  </si>
  <si>
    <t>Huyện giao</t>
  </si>
  <si>
    <t>Biểu số: 05</t>
  </si>
  <si>
    <t>KẾ HOẠCH SẢN XUẤT NÔNG NGHIỆP - THỦY SẢN THEO ĐỊA BÀN NĂM 2022</t>
  </si>
  <si>
    <t xml:space="preserve"> Số gường bệnh/10.000 dân (không tính gường bệnh trạm y tế)</t>
  </si>
  <si>
    <t>Tr. đồng</t>
  </si>
  <si>
    <t>HTX</t>
  </si>
  <si>
    <t>THT</t>
  </si>
  <si>
    <t>Tr.đồng</t>
  </si>
  <si>
    <t xml:space="preserve">So sánh </t>
  </si>
  <si>
    <t>(Kèm theo Nghị quyết số             /2021/NQ-HĐND ngày            /11/2021 của HĐND huyện Đăk Glei)</t>
  </si>
  <si>
    <t xml:space="preserve">Tr: DT trồng mới </t>
  </si>
  <si>
    <t xml:space="preserve"> - Đảng sâm (sâm dây)</t>
  </si>
  <si>
    <t xml:space="preserve"> + Đã trồng năm 2021</t>
  </si>
  <si>
    <t xml:space="preserve"> + Trồng mới năm 2022</t>
  </si>
  <si>
    <t xml:space="preserve"> - Các loại dược liệu khác (đương quy, đinh lăng, nghệ, rừng…)</t>
  </si>
  <si>
    <t>Lúa ruộng</t>
  </si>
  <si>
    <t>Lúa nà thổ</t>
  </si>
  <si>
    <t>Các BQL rừng phòng hộ, đặc dụng, Công ty TNHH MTV Lâm nghiệp trồng</t>
  </si>
  <si>
    <t>UBND các xã, thị trấn trồng</t>
  </si>
  <si>
    <t>(Kèm theo Nghị quyết số             /2021/NQ-HĐND ngày            /          /2021 của HĐND huyện Đăk Glei)</t>
  </si>
  <si>
    <t>(Kèm theo Nghị quyết số             /2021/NQ-HĐND ngày            /       /2021 của HĐND huyện Đăk Glei)</t>
  </si>
  <si>
    <t>- Bổ túc Trung học phổ thông</t>
  </si>
  <si>
    <t>VI</t>
  </si>
  <si>
    <t>Tỷ lệ bao phủ BHYT - BHXH - BHTN</t>
  </si>
  <si>
    <t>Tỷ lệ bao phủ bảo hiểm y tế/dân số trung bình</t>
  </si>
  <si>
    <t>Tỷ lệ bao phủ bảo hiểm xã hội/LLLĐ tham gia</t>
  </si>
  <si>
    <t>Trong đó: Tỷ lệ bao phủ BHXH tự nguyện/LLLĐ tham gia</t>
  </si>
  <si>
    <t xml:space="preserve">Tỷ lệ bao phủ bảo hiểm thất nghiệp/LLLĐ tham gia </t>
  </si>
  <si>
    <t>Tỷ lệ lao động nông thôn qua đào tạo nghề</t>
  </si>
  <si>
    <t>Tỷ lệ thôn, làng đạt danh hiệu văn hóa</t>
  </si>
  <si>
    <t>Số xã, thị trấn có nhà văn hóa</t>
  </si>
  <si>
    <t>thôn</t>
  </si>
  <si>
    <t>Tỷ lệ hộ gia đình văn hóa</t>
  </si>
  <si>
    <t>Tỷ lệ xã có thiết chế văn hóa - thông tin (Trung tâm văn hóa - thể thao)</t>
  </si>
  <si>
    <t xml:space="preserve">Tỉnh giao </t>
  </si>
  <si>
    <t>Tỉnh giao</t>
  </si>
  <si>
    <t>Đơn vị tính</t>
  </si>
  <si>
    <t>So sánh (%)</t>
  </si>
  <si>
    <t>TÌNH HÌNH THỰC HIỆN MỘT SỐ CHỈ TIÊU KINH TẾ - XÃ HỘI 6 THÁNG ĐẦU NĂM 2022</t>
  </si>
  <si>
    <t>TÍN DỤNG - TIỀN TỆ</t>
  </si>
  <si>
    <t>Nguồn vốn huy động</t>
  </si>
  <si>
    <t>Tiền gửi</t>
  </si>
  <si>
    <t>Tiền gửi kỳ phiếu, trái phiếu</t>
  </si>
  <si>
    <t>Dư nợ tín dụng</t>
  </si>
  <si>
    <t>Ngắn hạn</t>
  </si>
  <si>
    <t>Trung, dài hạn</t>
  </si>
  <si>
    <t>Nợ xấu</t>
  </si>
  <si>
    <t>Tỷ lệ nợ xấu / Tổng dư nợ tín dụng</t>
  </si>
  <si>
    <t>Năm 2022</t>
  </si>
  <si>
    <t>Thực hiện đến 31/5/2022</t>
  </si>
  <si>
    <t>ƯTH đến 30/6/2022</t>
  </si>
  <si>
    <t>Cùng kỳ năm 2021</t>
  </si>
  <si>
    <t>Chỉ tiêu còn lại của 6 tháng cuối năm 2022</t>
  </si>
  <si>
    <t>PHỤ LỤC 1</t>
  </si>
  <si>
    <t>PHỤ LỤC 2</t>
  </si>
  <si>
    <t>CÁC CHỈ TIÊU NÔNG NGHIỆP, CÔNG NGHIỆP, DỊCH VỤ 6 THÁNG ĐẦU NĂM 2022</t>
  </si>
  <si>
    <t>Cả năm</t>
  </si>
  <si>
    <t xml:space="preserve">  6 tháng năm 2021</t>
  </si>
  <si>
    <t>6 tháng đầu năm</t>
  </si>
  <si>
    <t xml:space="preserve">6 tháng đầu năm </t>
  </si>
  <si>
    <t>PHỤ LỤC 3</t>
  </si>
  <si>
    <t>MỘT SỐ CHỈ TIÊU KẾ HOẠCH PHÁT TRIỂN KINH TẾ - XÃ HỘI NĂM 2022</t>
  </si>
  <si>
    <t>(Kèm theo Báo cáo số         /BC-UBND ngày      tháng      năm 2022  của Ủy ban nhân dân huyện)</t>
  </si>
  <si>
    <t>6,80</t>
  </si>
  <si>
    <t xml:space="preserve"> -</t>
  </si>
  <si>
    <t>Đánh giá vào cuối năm</t>
  </si>
  <si>
    <t>Thống kê theo năm</t>
  </si>
  <si>
    <t xml:space="preserve"> Giáo dục (hệ công lập và ngoài công lập)</t>
  </si>
  <si>
    <t>Phòng Nông nghiệp PTNT không có số liệu</t>
  </si>
  <si>
    <t>Phòng VHTT không có số liệu</t>
  </si>
  <si>
    <t>Phòng Tài nguyên và Môi trường không có số liệu</t>
  </si>
  <si>
    <t>11/12</t>
  </si>
  <si>
    <t>9/12</t>
  </si>
  <si>
    <t>12/12</t>
  </si>
  <si>
    <t>GHI CHÚ</t>
  </si>
  <si>
    <t>Phòng TNMT không có số liệu</t>
  </si>
  <si>
    <t>Ghi chú</t>
  </si>
  <si>
    <t>(Kèm theo Báo cáo số          /BC-UBND  ngày          tháng      năm 2022 của  Ủy ban nhân dân huyện)</t>
  </si>
</sst>
</file>

<file path=xl/styles.xml><?xml version="1.0" encoding="utf-8"?>
<styleSheet xmlns="http://schemas.openxmlformats.org/spreadsheetml/2006/main">
  <numFmts count="8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0.0"/>
    <numFmt numFmtId="168" formatCode="#,##0.000_);\(#,##0.000\)"/>
    <numFmt numFmtId="169" formatCode="#,##0.0_);\(#,##0.0\)"/>
    <numFmt numFmtId="170" formatCode="&quot;\&quot;#,##0.00;[Red]&quot;\&quot;&quot;\&quot;&quot;\&quot;&quot;\&quot;&quot;\&quot;&quot;\&quot;\-#,##0.00"/>
    <numFmt numFmtId="171" formatCode="&quot;\&quot;#,##0;[Red]&quot;\&quot;&quot;\&quot;\-#,##0"/>
    <numFmt numFmtId="172" formatCode=".\ ###\ ;############################################################################################"/>
    <numFmt numFmtId="173" formatCode="_-* #,##0_-;\-* #,##0_-;_-* &quot;-&quot;_-;_-@_-"/>
    <numFmt numFmtId="174" formatCode="_-* #,##0.00_-;\-* #,##0.00_-;_-* &quot;-&quot;??_-;_-@_-"/>
    <numFmt numFmtId="175" formatCode="_(* #,##0_);_(* \(#,##0\);_(* \-??_);_(@_)"/>
    <numFmt numFmtId="176" formatCode="_-* #,##0\ _F_-;\-* #,##0\ _F_-;_-* &quot;- &quot;_F_-;_-@_-"/>
    <numFmt numFmtId="177" formatCode="_-* #,##0\ _F_-;\-* #,##0\ _F_-;_-* &quot;-&quot;\ _F_-;_-@_-"/>
    <numFmt numFmtId="178" formatCode="_ &quot;\&quot;* #,##0_ ;_ &quot;\&quot;* \-#,##0_ ;_ &quot;\&quot;* &quot;-&quot;_ ;_ @_ "/>
    <numFmt numFmtId="179" formatCode="_ \\* #,##0_ ;_ \\* \-#,##0_ ;_ \\* \-_ ;_ @_ "/>
    <numFmt numFmtId="180" formatCode="&quot;\&quot;#,##0.00;[Red]&quot;\&quot;\-#,##0.00"/>
    <numFmt numFmtId="181" formatCode="&quot;\&quot;#,##0;[Red]&quot;\&quot;\-#,##0"/>
    <numFmt numFmtId="182" formatCode="_ &quot;\&quot;* #,##0.00_ ;_ &quot;\&quot;* \-#,##0.00_ ;_ &quot;\&quot;* &quot;-&quot;??_ ;_ @_ "/>
    <numFmt numFmtId="183" formatCode="_ * #,##0_ ;_ * \-#,##0_ ;_ * &quot;-&quot;_ ;_ @_ "/>
    <numFmt numFmtId="184" formatCode="#\ ###\ ##0"/>
    <numFmt numFmtId="185" formatCode="_ * #,##0.00_ ;_ * \-#,##0.00_ ;_ * &quot;-&quot;??_ ;_ @_ "/>
    <numFmt numFmtId="186" formatCode=".\ ##;000000000000000000000000000000000000000000000000000000000000000000000000000000000000000000000000000000000000"/>
    <numFmt numFmtId="187" formatCode="\$#,##0_);\(\$#,##0\)"/>
    <numFmt numFmtId="188" formatCode="_(* #,##0.0000_);_(* \(#,##0.0000\);_(* &quot;-&quot;??_);_(@_)"/>
    <numFmt numFmtId="189" formatCode="0.0%;[Red]\(0.0%\)"/>
    <numFmt numFmtId="190" formatCode="_ * #,##0.00_)&quot;£&quot;_ ;_ * \(#,##0.00\)&quot;£&quot;_ ;_ * &quot;-&quot;??_)&quot;£&quot;_ ;_ @_ "/>
    <numFmt numFmtId="191" formatCode="_-&quot;$&quot;* #,##0.00_-;\-&quot;$&quot;* #,##0.00_-;_-&quot;$&quot;* &quot;-&quot;??_-;_-@_-"/>
    <numFmt numFmtId="192" formatCode="0.0%;\(0.0%\)"/>
    <numFmt numFmtId="193" formatCode="_ * #,##0_$_ ;_ * #,##0_$_ ;_ * &quot;-&quot;_$_ ;_ @_ "/>
    <numFmt numFmtId="194" formatCode="#,##0;\(#,##0\)"/>
    <numFmt numFmtId="195" formatCode="_-&quot;$&quot;* #,##0_-;\-&quot;$&quot;* #,##0_-;_-&quot;$&quot;* &quot;-&quot;_-;_-@_-"/>
    <numFmt numFmtId="196" formatCode="\$#,##0\ ;\(\$#,##0\)"/>
    <numFmt numFmtId="197" formatCode="\t0.00%"/>
    <numFmt numFmtId="198" formatCode="\U\S\$#,##0.00;\(\U\S\$#,##0.00\)"/>
    <numFmt numFmtId="199" formatCode="_-* #,##0\ _D_M_-;\-* #,##0\ _D_M_-;_-* &quot;-&quot;\ _D_M_-;_-@_-"/>
    <numFmt numFmtId="200" formatCode="_-* #,##0.00\ _D_M_-;\-* #,##0.00\ _D_M_-;_-* &quot;-&quot;??\ _D_M_-;_-@_-"/>
    <numFmt numFmtId="201" formatCode="\t#\ ??/??"/>
    <numFmt numFmtId="202" formatCode="_-* #,##0_-;\-* #,##0_-;_-* \-_-;_-@_-"/>
    <numFmt numFmtId="203" formatCode="_(* #,##0_);_(* \(#,##0\);_(* \-_);_(@_)"/>
    <numFmt numFmtId="204" formatCode="_-* #,##0\ _₫_-;\-* #,##0\ _₫_-;_-* &quot;- &quot;_₫_-;_-@_-"/>
    <numFmt numFmtId="205" formatCode="_-* #,##0.00_-;\-* #,##0.00_-;_-* \-??_-;_-@_-"/>
    <numFmt numFmtId="206" formatCode="_(* #,##0.00_);_(* \(#,##0.00\);_(* \-??_);_(@_)"/>
    <numFmt numFmtId="207" formatCode="_-* #,##0.00\ _₫_-;\-* #,##0.00\ _₫_-;_-* \-??\ _₫_-;_-@_-"/>
    <numFmt numFmtId="208" formatCode="_-[$€]* #,##0.00_-;\-[$€]* #,##0.00_-;_-[$€]* &quot;-&quot;??_-;_-@_-"/>
    <numFmt numFmtId="209" formatCode="#.0\ ##0"/>
    <numFmt numFmtId="210" formatCode="#,###"/>
    <numFmt numFmtId="211" formatCode="#,##0\ &quot;$&quot;_);[Red]\(#,##0\ &quot;$&quot;\)"/>
    <numFmt numFmtId="212" formatCode="&quot;$&quot;###,0&quot;.&quot;00_);[Red]\(&quot;$&quot;###,0&quot;.&quot;00\)"/>
    <numFmt numFmtId="213" formatCode="&quot;VND&quot;#,##0_);[Red]\(&quot;VND&quot;#,##0\)"/>
    <numFmt numFmtId="214" formatCode="#,##0.00\ &quot;F&quot;;[Red]\-#,##0.00\ &quot;F&quot;"/>
    <numFmt numFmtId="215" formatCode="#,##0.00&quot; F&quot;;[Red]\-#,##0.00&quot; F&quot;"/>
    <numFmt numFmtId="216" formatCode="_-&quot;£&quot;* #,##0.00_-;\-&quot;£&quot;* #,##0.00_-;_-&quot;£&quot;* &quot;-&quot;??_-;_-@_-"/>
    <numFmt numFmtId="217" formatCode="_-\£* #,##0.00_-;&quot;-£&quot;* #,##0.00_-;_-\£* \-??_-;_-@_-"/>
    <numFmt numFmtId="218" formatCode="_-* #,##0.0\ _F_-;\-* #,##0.0\ _F_-;_-* &quot;-&quot;??\ _F_-;_-@_-"/>
    <numFmt numFmtId="219" formatCode="0.00000000"/>
    <numFmt numFmtId="220" formatCode="_-* #,##0.0\ _F_-;\-* #,##0.0\ _F_-;_-* \-??\ _F_-;_-@_-"/>
    <numFmt numFmtId="221" formatCode="&quot;\&quot;#,##0;&quot;\&quot;\-#,##0"/>
    <numFmt numFmtId="222" formatCode="\\#,##0;&quot;\-&quot;#,##0"/>
    <numFmt numFmtId="223" formatCode="_-* ###,0&quot;.&quot;00\ _F_B_-;\-* ###,0&quot;.&quot;00\ _F_B_-;_-* &quot;-&quot;??\ _F_B_-;_-@_-"/>
    <numFmt numFmtId="224" formatCode="_-* ###,0\.00\ _F_B_-;\-* ###,0\.00\ _F_B_-;_-* \-??\ _F_B_-;_-@_-"/>
    <numFmt numFmtId="225" formatCode="&quot;\&quot;#,##0;[Red]\-&quot;\&quot;#,##0"/>
    <numFmt numFmtId="226" formatCode="#,##0\ &quot;F&quot;;\-#,##0\ &quot;F&quot;"/>
    <numFmt numFmtId="227" formatCode="#,##0\ &quot;F&quot;;[Red]\-#,##0\ &quot;F&quot;"/>
    <numFmt numFmtId="228" formatCode="_-* #,##0\ &quot;F&quot;_-;\-* #,##0\ &quot;F&quot;_-;_-* &quot;-&quot;\ &quot;F&quot;_-;_-@_-"/>
    <numFmt numFmtId="229" formatCode="#.00\ ##0"/>
    <numFmt numFmtId="230" formatCode="#.\ ##0"/>
    <numFmt numFmtId="231" formatCode="#,##0.00\ &quot;F&quot;;\-#,##0.00\ &quot;F&quot;"/>
    <numFmt numFmtId="232" formatCode="_-* #,##0\ &quot;DM&quot;_-;\-* #,##0\ &quot;DM&quot;_-;_-* &quot;-&quot;\ &quot;DM&quot;_-;_-@_-"/>
    <numFmt numFmtId="233" formatCode="_-* #,##0.00\ &quot;DM&quot;_-;\-* #,##0.00\ &quot;DM&quot;_-;_-* &quot;-&quot;??\ &quot;DM&quot;_-;_-@_-"/>
    <numFmt numFmtId="234" formatCode="#,##0;[Red]#,##0"/>
    <numFmt numFmtId="235" formatCode="0.0"/>
    <numFmt numFmtId="236" formatCode="#,##0.000"/>
    <numFmt numFmtId="237" formatCode="_(* #,##0.00_);_(* \(#,##0.00\);_(* &quot;-&quot;_);_(@_)"/>
    <numFmt numFmtId="238" formatCode="#,##0.0;[Red]#,##0.0"/>
  </numFmts>
  <fonts count="198">
    <font>
      <sz val="14"/>
      <color theme="1"/>
      <name val="Calibri"/>
      <family val="2"/>
    </font>
    <font>
      <sz val="14"/>
      <color indexed="8"/>
      <name val="Calibri"/>
      <family val="2"/>
    </font>
    <font>
      <sz val="12"/>
      <color indexed="8"/>
      <name val="Times New Roman"/>
      <family val="1"/>
    </font>
    <font>
      <i/>
      <sz val="12"/>
      <color indexed="8"/>
      <name val="Times New Roman"/>
      <family val="1"/>
    </font>
    <font>
      <b/>
      <sz val="12"/>
      <name val="Times New Roman"/>
      <family val="1"/>
    </font>
    <font>
      <b/>
      <sz val="13"/>
      <name val="Times New Roman"/>
      <family val="1"/>
    </font>
    <font>
      <sz val="13"/>
      <name val="Times New Roman"/>
      <family val="1"/>
    </font>
    <font>
      <sz val="12"/>
      <name val="Times New Roman"/>
      <family val="1"/>
    </font>
    <font>
      <sz val="11"/>
      <color indexed="8"/>
      <name val="Calibri"/>
      <family val="2"/>
    </font>
    <font>
      <b/>
      <sz val="14"/>
      <name val="Times New Roman"/>
      <family val="1"/>
    </font>
    <font>
      <sz val="13"/>
      <name val=".VnTime"/>
      <family val="2"/>
    </font>
    <font>
      <sz val="14"/>
      <name val="Times New Roman"/>
      <family val="1"/>
    </font>
    <font>
      <sz val="10"/>
      <name val="Times New Roman"/>
      <family val="1"/>
    </font>
    <font>
      <i/>
      <sz val="13"/>
      <name val="Times New Roman"/>
      <family val="1"/>
    </font>
    <font>
      <b/>
      <sz val="9"/>
      <name val="Tahoma"/>
      <family val="2"/>
    </font>
    <font>
      <sz val="10"/>
      <name val=".VnTime"/>
      <family val="2"/>
    </font>
    <font>
      <sz val="12"/>
      <name val=".VnTime"/>
      <family val="2"/>
    </font>
    <font>
      <sz val="12"/>
      <name val="VNtimes new roman"/>
      <family val="2"/>
    </font>
    <font>
      <sz val="10"/>
      <name val="Arial"/>
      <family val="2"/>
    </font>
    <font>
      <sz val="10"/>
      <name val="?? ??"/>
      <family val="1"/>
    </font>
    <font>
      <sz val="12"/>
      <name val=".VnArial"/>
      <family val="2"/>
    </font>
    <font>
      <sz val="12"/>
      <name val="????"/>
      <family val="1"/>
    </font>
    <font>
      <sz val="12"/>
      <name val="Courier"/>
      <family val="3"/>
    </font>
    <font>
      <sz val="10"/>
      <name val="AngsanaUPC"/>
      <family val="1"/>
    </font>
    <font>
      <sz val="12"/>
      <name val="|??¢¥¢¬¨Ï"/>
      <family val="1"/>
    </font>
    <font>
      <sz val="10"/>
      <name val="MS Sans Serif"/>
      <family val="2"/>
    </font>
    <font>
      <sz val="12"/>
      <name val="???"/>
      <family val="0"/>
    </font>
    <font>
      <sz val="11"/>
      <name val="‚l‚r ‚oƒSƒVƒbƒN"/>
      <family val="3"/>
    </font>
    <font>
      <sz val="11"/>
      <name val="–¾’©"/>
      <family val="1"/>
    </font>
    <font>
      <sz val="14"/>
      <name val="Terminal"/>
      <family val="3"/>
    </font>
    <font>
      <b/>
      <sz val="10"/>
      <name val=".VnTimeH"/>
      <family val="2"/>
    </font>
    <font>
      <sz val="11"/>
      <name val=".vntime"/>
      <family val="2"/>
    </font>
    <font>
      <b/>
      <u val="single"/>
      <sz val="14"/>
      <color indexed="8"/>
      <name val=".VnBook-AntiquaH"/>
      <family val="2"/>
    </font>
    <font>
      <b/>
      <sz val="12"/>
      <name val=".VnTime"/>
      <family val="2"/>
    </font>
    <font>
      <sz val="10"/>
      <name val="VnTimes"/>
      <family val="0"/>
    </font>
    <font>
      <sz val="12"/>
      <name val="¹ÙÅÁÃ¼"/>
      <family val="0"/>
    </font>
    <font>
      <i/>
      <sz val="12"/>
      <color indexed="8"/>
      <name val=".VnBook-AntiquaH"/>
      <family val="2"/>
    </font>
    <font>
      <sz val="12"/>
      <color indexed="23"/>
      <name val=".VnArial"/>
      <family val="2"/>
    </font>
    <font>
      <b/>
      <sz val="12"/>
      <color indexed="8"/>
      <name val=".VnBook-Antiqua"/>
      <family val="2"/>
    </font>
    <font>
      <i/>
      <sz val="12"/>
      <color indexed="8"/>
      <name val=".VnBook-Antiqua"/>
      <family val="2"/>
    </font>
    <font>
      <sz val="12"/>
      <color indexed="9"/>
      <name val=".VnArial"/>
      <family val="2"/>
    </font>
    <font>
      <sz val="12"/>
      <name val="±¼¸²Ã¼"/>
      <family val="3"/>
    </font>
    <font>
      <sz val="12"/>
      <name val="¹UAAA¼"/>
      <family val="3"/>
    </font>
    <font>
      <sz val="11"/>
      <name val="±¼¸²Ã¼"/>
      <family val="3"/>
    </font>
    <font>
      <sz val="8"/>
      <name val="Times New Roman"/>
      <family val="1"/>
    </font>
    <font>
      <sz val="12"/>
      <color indexed="20"/>
      <name val=".VnArial"/>
      <family val="2"/>
    </font>
    <font>
      <sz val="12"/>
      <name val="Tms Rmn"/>
      <family val="0"/>
    </font>
    <font>
      <sz val="11"/>
      <name val="µ¸¿ò"/>
      <family val="0"/>
    </font>
    <font>
      <sz val="12"/>
      <name val="µ¸¿òÃ¼"/>
      <family val="3"/>
    </font>
    <font>
      <sz val="10"/>
      <name val="±¼¸²A¼"/>
      <family val="3"/>
    </font>
    <font>
      <sz val="10"/>
      <name val="Helv"/>
      <family val="0"/>
    </font>
    <font>
      <b/>
      <sz val="12"/>
      <color indexed="10"/>
      <name val=".VnArial"/>
      <family val="2"/>
    </font>
    <font>
      <b/>
      <sz val="10"/>
      <name val="Helv"/>
      <family val="0"/>
    </font>
    <font>
      <b/>
      <sz val="12"/>
      <color indexed="9"/>
      <name val=".VnArial"/>
      <family val="2"/>
    </font>
    <font>
      <sz val="10"/>
      <name val=".VnArial"/>
      <family val="2"/>
    </font>
    <font>
      <sz val="10"/>
      <name val="VNI-Aptima"/>
      <family val="0"/>
    </font>
    <font>
      <b/>
      <sz val="10"/>
      <name val="MS Sans Serif"/>
      <family val="2"/>
    </font>
    <font>
      <sz val="10"/>
      <name val="MS Serif"/>
      <family val="1"/>
    </font>
    <font>
      <sz val="10"/>
      <color indexed="8"/>
      <name val="Arial"/>
      <family val="2"/>
    </font>
    <font>
      <sz val="11"/>
      <name val="VNtimes new roman"/>
      <family val="2"/>
    </font>
    <font>
      <sz val="10"/>
      <name val="Arial CE"/>
      <family val="0"/>
    </font>
    <font>
      <sz val="10"/>
      <color indexed="16"/>
      <name val="MS Serif"/>
      <family val="1"/>
    </font>
    <font>
      <i/>
      <sz val="12"/>
      <color indexed="23"/>
      <name val=".VnArial"/>
      <family val="2"/>
    </font>
    <font>
      <sz val="12"/>
      <color indexed="58"/>
      <name val=".VnArial"/>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7"/>
      <name val=".VnArial"/>
      <family val="2"/>
    </font>
    <font>
      <b/>
      <sz val="8"/>
      <name val="MS Sans Serif"/>
      <family val="2"/>
    </font>
    <font>
      <b/>
      <sz val="10"/>
      <name val=".VnTime"/>
      <family val="2"/>
    </font>
    <font>
      <b/>
      <sz val="14"/>
      <name val=".VnTimeH"/>
      <family val="2"/>
    </font>
    <font>
      <sz val="8"/>
      <color indexed="12"/>
      <name val="Helv"/>
      <family val="0"/>
    </font>
    <font>
      <sz val="10"/>
      <name val="VNI-Helve"/>
      <family val="0"/>
    </font>
    <font>
      <b/>
      <sz val="14"/>
      <name val=".VnArialH"/>
      <family val="2"/>
    </font>
    <font>
      <sz val="12"/>
      <color indexed="10"/>
      <name val=".VnArial"/>
      <family val="2"/>
    </font>
    <font>
      <b/>
      <sz val="11"/>
      <name val="Helv"/>
      <family val="0"/>
    </font>
    <font>
      <sz val="10"/>
      <name val=".VnAvant"/>
      <family val="2"/>
    </font>
    <font>
      <sz val="12"/>
      <name val="Arial"/>
      <family val="2"/>
    </font>
    <font>
      <sz val="12"/>
      <color indexed="19"/>
      <name val=".VnArial"/>
      <family val="2"/>
    </font>
    <font>
      <sz val="7"/>
      <name val="Small Fonts"/>
      <family val="2"/>
    </font>
    <font>
      <b/>
      <sz val="12"/>
      <name val="VN-NTime"/>
      <family val="0"/>
    </font>
    <font>
      <sz val="10"/>
      <name val="VNtimes new roman"/>
      <family val="2"/>
    </font>
    <font>
      <sz val="12"/>
      <name val="바탕체"/>
      <family val="1"/>
    </font>
    <font>
      <sz val="14"/>
      <name val="System"/>
      <family val="2"/>
    </font>
    <font>
      <b/>
      <sz val="11"/>
      <name val="Arial"/>
      <family val="2"/>
    </font>
    <font>
      <b/>
      <sz val="12"/>
      <color indexed="23"/>
      <name val=".VnArial"/>
      <family val="2"/>
    </font>
    <font>
      <sz val="12"/>
      <name val="Helv"/>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1"/>
      <color indexed="32"/>
      <name val="VNI-Times"/>
      <family val="0"/>
    </font>
    <font>
      <b/>
      <sz val="8"/>
      <color indexed="8"/>
      <name val="Helv"/>
      <family val="0"/>
    </font>
    <font>
      <sz val="14"/>
      <name val=".VnTime"/>
      <family val="2"/>
    </font>
    <font>
      <b/>
      <sz val="13"/>
      <name val=".VnTime"/>
      <family val="2"/>
    </font>
    <font>
      <sz val="12"/>
      <name val="VnTime"/>
      <family val="0"/>
    </font>
    <font>
      <sz val="11"/>
      <name val=".VnAvant"/>
      <family val="2"/>
    </font>
    <font>
      <b/>
      <i/>
      <u val="single"/>
      <sz val="12"/>
      <name val=".VnTimeH"/>
      <family val="2"/>
    </font>
    <font>
      <sz val="9.5"/>
      <name val=".VnBlackH"/>
      <family val="2"/>
    </font>
    <font>
      <b/>
      <sz val="10"/>
      <name val=".VnBahamasBH"/>
      <family val="2"/>
    </font>
    <font>
      <b/>
      <sz val="11"/>
      <name val=".VnArialH"/>
      <family val="2"/>
    </font>
    <font>
      <b/>
      <sz val="18"/>
      <color indexed="57"/>
      <name val="Cambria"/>
      <family val="2"/>
    </font>
    <font>
      <b/>
      <sz val="10"/>
      <name val=".VnArialH"/>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4"/>
      <name val=".VnArial"/>
      <family val="2"/>
    </font>
    <font>
      <sz val="16"/>
      <name val="AngsanaUPC"/>
      <family val="3"/>
    </font>
    <font>
      <sz val="14"/>
      <name val="뼻뮝"/>
      <family val="3"/>
    </font>
    <font>
      <sz val="12"/>
      <name val="뼻뮝"/>
      <family val="1"/>
    </font>
    <font>
      <sz val="9"/>
      <name val="Arial"/>
      <family val="2"/>
    </font>
    <font>
      <sz val="10"/>
      <name val="굴림체"/>
      <family val="3"/>
    </font>
    <font>
      <sz val="10"/>
      <name val=" "/>
      <family val="1"/>
    </font>
    <font>
      <i/>
      <sz val="14"/>
      <name val="Times New Roman"/>
      <family val="1"/>
    </font>
    <font>
      <sz val="9"/>
      <name val="Tahoma"/>
      <family val="2"/>
    </font>
    <font>
      <sz val="14"/>
      <color indexed="8"/>
      <name val="Times New Roman"/>
      <family val="1"/>
    </font>
    <font>
      <i/>
      <sz val="14"/>
      <color indexed="8"/>
      <name val="Times New Roman"/>
      <family val="1"/>
    </font>
    <font>
      <sz val="14"/>
      <color indexed="10"/>
      <name val="Times New Roman"/>
      <family val="1"/>
    </font>
    <font>
      <b/>
      <sz val="14"/>
      <color indexed="8"/>
      <name val="Times New Roman"/>
      <family val="1"/>
    </font>
    <font>
      <sz val="8"/>
      <name val="Calibri"/>
      <family val="2"/>
    </font>
    <font>
      <sz val="13"/>
      <color indexed="8"/>
      <name val="Times New Roman"/>
      <family val="1"/>
    </font>
    <font>
      <b/>
      <i/>
      <sz val="14"/>
      <name val="Times New Roman"/>
      <family val="1"/>
    </font>
    <font>
      <i/>
      <sz val="13"/>
      <color indexed="8"/>
      <name val="Times New Roman"/>
      <family val="1"/>
    </font>
    <font>
      <sz val="12"/>
      <name val="Arial Narrow"/>
      <family val="2"/>
    </font>
    <font>
      <i/>
      <u val="single"/>
      <sz val="14"/>
      <name val="Times New Roman"/>
      <family val="1"/>
    </font>
    <font>
      <b/>
      <sz val="13"/>
      <color indexed="8"/>
      <name val="Times New Roman"/>
      <family val="1"/>
    </font>
    <font>
      <sz val="13"/>
      <color indexed="10"/>
      <name val="Times New Roman"/>
      <family val="1"/>
    </font>
    <font>
      <b/>
      <i/>
      <sz val="13"/>
      <name val="Times New Roman"/>
      <family val="1"/>
    </font>
    <font>
      <sz val="12"/>
      <name val="Tahoma"/>
      <family val="2"/>
    </font>
    <font>
      <sz val="11"/>
      <name val="Arial Narrow"/>
      <family val="2"/>
    </font>
    <font>
      <b/>
      <sz val="12"/>
      <color indexed="8"/>
      <name val="Times New Roman"/>
      <family val="1"/>
    </font>
    <font>
      <i/>
      <sz val="12"/>
      <name val="Times New Roman"/>
      <family val="1"/>
    </font>
    <font>
      <b/>
      <sz val="11"/>
      <name val="Times New Roman"/>
      <family val="1"/>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i/>
      <sz val="14"/>
      <color indexed="8"/>
      <name val="Calibri"/>
      <family val="2"/>
    </font>
    <font>
      <sz val="14"/>
      <name val="Calibri"/>
      <family val="2"/>
    </font>
    <font>
      <sz val="12"/>
      <name val="Calibri"/>
      <family val="2"/>
    </font>
    <font>
      <b/>
      <i/>
      <sz val="14"/>
      <color indexed="8"/>
      <name val="Times New Roman"/>
      <family val="1"/>
    </font>
    <font>
      <b/>
      <i/>
      <sz val="12"/>
      <color indexed="8"/>
      <name val="Times New Roman"/>
      <family val="1"/>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sz val="13"/>
      <color theme="1"/>
      <name val="Times New Roman"/>
      <family val="1"/>
    </font>
    <font>
      <i/>
      <sz val="14"/>
      <color theme="1"/>
      <name val="Calibri"/>
      <family val="2"/>
    </font>
    <font>
      <b/>
      <sz val="13"/>
      <color theme="1"/>
      <name val="Times New Roman"/>
      <family val="1"/>
    </font>
    <font>
      <sz val="14"/>
      <color theme="1"/>
      <name val="Times New Roman"/>
      <family val="1"/>
    </font>
    <font>
      <b/>
      <sz val="14"/>
      <color theme="1"/>
      <name val="Times New Roman"/>
      <family val="1"/>
    </font>
    <font>
      <i/>
      <sz val="14"/>
      <color theme="1"/>
      <name val="Times New Roman"/>
      <family val="1"/>
    </font>
    <font>
      <b/>
      <i/>
      <sz val="14"/>
      <color theme="1"/>
      <name val="Times New Roman"/>
      <family val="1"/>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sz val="12"/>
      <color rgb="FF000000"/>
      <name val="Times New Roman"/>
      <family val="1"/>
    </font>
    <font>
      <sz val="14"/>
      <color rgb="FFFF0000"/>
      <name val="Times New Roman"/>
      <family val="1"/>
    </font>
    <font>
      <b/>
      <sz val="8"/>
      <name val="Calibri"/>
      <family val="2"/>
    </font>
  </fonts>
  <fills count="6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indexed="6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right style="thin"/>
      <top style="double"/>
      <bottom style="hair"/>
    </border>
    <border>
      <left style="thin"/>
      <right style="thin"/>
      <top style="hair"/>
      <bottom style="hair"/>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23"/>
      </left>
      <right style="double">
        <color indexed="23"/>
      </right>
      <top style="double">
        <color indexed="23"/>
      </top>
      <bottom style="double">
        <color indexed="23"/>
      </bottom>
    </border>
    <border>
      <left style="thin"/>
      <right style="thin"/>
      <top>
        <color indexed="63"/>
      </top>
      <bottom style="thin"/>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border>
    <border>
      <left style="thin"/>
      <right>
        <color indexed="63"/>
      </right>
      <top style="thin"/>
      <bottom style="thin"/>
    </border>
    <border>
      <left style="double"/>
      <right style="thin"/>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right style="thin"/>
      <top style="thin"/>
      <bottom style="hair"/>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color indexed="63"/>
      </left>
      <right style="medium">
        <color indexed="63"/>
      </right>
      <top>
        <color indexed="63"/>
      </top>
      <bottom>
        <color indexed="63"/>
      </bottom>
    </border>
    <border>
      <left>
        <color indexed="63"/>
      </left>
      <right style="medium">
        <color indexed="8"/>
      </right>
      <top>
        <color indexed="63"/>
      </top>
      <bottom>
        <color indexed="63"/>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double"/>
      <bottom>
        <color indexed="63"/>
      </bottom>
    </border>
    <border>
      <left style="medium">
        <color indexed="8"/>
      </left>
      <right style="medium">
        <color indexed="8"/>
      </right>
      <top style="medium">
        <color indexed="8"/>
      </top>
      <bottom style="medium">
        <color indexed="8"/>
      </bottom>
    </border>
    <border>
      <left style="medium"/>
      <right style="thin"/>
      <top>
        <color indexed="63"/>
      </top>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hair"/>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style="thin"/>
    </border>
    <border>
      <left style="hair"/>
      <right>
        <color indexed="63"/>
      </right>
      <top style="hair"/>
      <bottom style="hair"/>
    </border>
    <border>
      <left>
        <color indexed="63"/>
      </left>
      <right style="thin"/>
      <top style="hair"/>
      <bottom style="hair"/>
    </border>
    <border>
      <left>
        <color indexed="63"/>
      </left>
      <right style="medium"/>
      <top style="medium"/>
      <bottom style="medium"/>
    </border>
    <border>
      <left>
        <color indexed="63"/>
      </left>
      <right style="thin"/>
      <top style="hair"/>
      <bottom style="thin"/>
    </border>
    <border>
      <left style="hair"/>
      <right style="hair"/>
      <top style="thin"/>
      <bottom style="hair"/>
    </border>
    <border>
      <left style="hair"/>
      <right style="thin"/>
      <top style="thin"/>
      <bottom style="hair"/>
    </border>
    <border>
      <left style="thin"/>
      <right style="hair"/>
      <top style="thin"/>
      <bottom style="hair"/>
    </border>
    <border>
      <left>
        <color indexed="63"/>
      </left>
      <right style="hair"/>
      <top style="thin"/>
      <bottom style="hair"/>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hair"/>
    </border>
  </borders>
  <cellStyleXfs count="6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166" fontId="17" fillId="0" borderId="1" applyFont="0" applyBorder="0">
      <alignment/>
      <protection/>
    </xf>
    <xf numFmtId="170" fontId="18" fillId="0" borderId="0" applyFont="0" applyFill="0" applyBorder="0" applyAlignment="0" applyProtection="0"/>
    <xf numFmtId="0" fontId="19" fillId="0" borderId="0" applyFont="0" applyFill="0" applyBorder="0" applyAlignment="0" applyProtection="0"/>
    <xf numFmtId="171"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applyFont="0" applyFill="0" applyBorder="0" applyAlignment="0" applyProtection="0"/>
    <xf numFmtId="172" fontId="16"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6" fontId="22" fillId="0" borderId="0" applyFont="0" applyFill="0" applyBorder="0" applyAlignment="0" applyProtection="0"/>
    <xf numFmtId="0" fontId="23"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75" fontId="15" fillId="0" borderId="0" applyFill="0" applyBorder="0" applyAlignment="0" applyProtection="0"/>
    <xf numFmtId="177" fontId="16" fillId="0" borderId="0" applyFont="0" applyFill="0" applyBorder="0" applyAlignment="0" applyProtection="0"/>
    <xf numFmtId="176" fontId="15" fillId="0" borderId="0" applyFill="0" applyBorder="0" applyAlignment="0" applyProtection="0"/>
    <xf numFmtId="0" fontId="25" fillId="0" borderId="0">
      <alignment/>
      <protection/>
    </xf>
    <xf numFmtId="178" fontId="26" fillId="0" borderId="0" applyFont="0" applyFill="0" applyBorder="0" applyAlignment="0" applyProtection="0"/>
    <xf numFmtId="179" fontId="15" fillId="0" borderId="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0" fontId="29" fillId="0" borderId="0">
      <alignment/>
      <protection/>
    </xf>
    <xf numFmtId="0" fontId="28" fillId="0" borderId="0">
      <alignment/>
      <protection/>
    </xf>
    <xf numFmtId="0" fontId="18" fillId="0" borderId="0">
      <alignment/>
      <protection/>
    </xf>
    <xf numFmtId="178" fontId="26" fillId="0" borderId="0" applyFont="0" applyFill="0" applyBorder="0" applyAlignment="0" applyProtection="0"/>
    <xf numFmtId="179" fontId="15" fillId="0" borderId="0" applyFill="0" applyBorder="0" applyAlignment="0" applyProtection="0"/>
    <xf numFmtId="0" fontId="31" fillId="2" borderId="0">
      <alignment/>
      <protection/>
    </xf>
    <xf numFmtId="0" fontId="32" fillId="2" borderId="0">
      <alignment/>
      <protection/>
    </xf>
    <xf numFmtId="0" fontId="30" fillId="0" borderId="2" applyFont="0" applyAlignment="0">
      <protection/>
    </xf>
    <xf numFmtId="0" fontId="32" fillId="2" borderId="0">
      <alignment/>
      <protection/>
    </xf>
    <xf numFmtId="0" fontId="30" fillId="0" borderId="2" applyFont="0" applyAlignment="0">
      <protection/>
    </xf>
    <xf numFmtId="0" fontId="31" fillId="3" borderId="0">
      <alignment/>
      <protection/>
    </xf>
    <xf numFmtId="0" fontId="30" fillId="0" borderId="2" applyFont="0" applyAlignment="0">
      <protection/>
    </xf>
    <xf numFmtId="0" fontId="31" fillId="2"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2" fillId="2" borderId="0">
      <alignment/>
      <protection/>
    </xf>
    <xf numFmtId="0" fontId="32" fillId="3" borderId="0">
      <alignment/>
      <protection/>
    </xf>
    <xf numFmtId="0" fontId="32" fillId="2" borderId="0">
      <alignment/>
      <protection/>
    </xf>
    <xf numFmtId="0" fontId="32" fillId="3"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0" fillId="0" borderId="2" applyFont="0" applyAlignment="0">
      <protection/>
    </xf>
    <xf numFmtId="0" fontId="30" fillId="0" borderId="2" applyFont="0" applyAlignment="0">
      <protection/>
    </xf>
    <xf numFmtId="0" fontId="31" fillId="2" borderId="0">
      <alignment/>
      <protection/>
    </xf>
    <xf numFmtId="0" fontId="31" fillId="3" borderId="0">
      <alignment/>
      <protection/>
    </xf>
    <xf numFmtId="0" fontId="32" fillId="2" borderId="0">
      <alignment/>
      <protection/>
    </xf>
    <xf numFmtId="0" fontId="32" fillId="2" borderId="0">
      <alignment/>
      <protection/>
    </xf>
    <xf numFmtId="0" fontId="30" fillId="0" borderId="2" applyFont="0" applyAlignment="0">
      <protection/>
    </xf>
    <xf numFmtId="0" fontId="30" fillId="0" borderId="2" applyFont="0" applyAlignment="0">
      <protection/>
    </xf>
    <xf numFmtId="0" fontId="30" fillId="0" borderId="2" applyFont="0" applyAlignment="0">
      <protection/>
    </xf>
    <xf numFmtId="0" fontId="30" fillId="0" borderId="2" applyFont="0" applyAlignment="0">
      <protection/>
    </xf>
    <xf numFmtId="0" fontId="32" fillId="2" borderId="0">
      <alignment/>
      <protection/>
    </xf>
    <xf numFmtId="0" fontId="16" fillId="2" borderId="0">
      <alignment/>
      <protection/>
    </xf>
    <xf numFmtId="0" fontId="16" fillId="2" borderId="0">
      <alignment/>
      <protection/>
    </xf>
    <xf numFmtId="0" fontId="16" fillId="3" borderId="0">
      <alignment/>
      <protection/>
    </xf>
    <xf numFmtId="0" fontId="32" fillId="2" borderId="0">
      <alignment/>
      <protection/>
    </xf>
    <xf numFmtId="0" fontId="32" fillId="3"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2" fillId="2" borderId="0">
      <alignment/>
      <protection/>
    </xf>
    <xf numFmtId="0" fontId="31" fillId="2" borderId="0">
      <alignment/>
      <protection/>
    </xf>
    <xf numFmtId="0" fontId="31" fillId="3" borderId="0">
      <alignment/>
      <protection/>
    </xf>
    <xf numFmtId="0" fontId="30" fillId="0" borderId="2" applyFont="0" applyAlignment="0">
      <protection/>
    </xf>
    <xf numFmtId="0" fontId="30" fillId="0" borderId="2" applyFont="0" applyAlignment="0">
      <protection/>
    </xf>
    <xf numFmtId="0" fontId="31" fillId="2" borderId="0">
      <alignment/>
      <protection/>
    </xf>
    <xf numFmtId="0" fontId="31" fillId="3" borderId="0">
      <alignment/>
      <protection/>
    </xf>
    <xf numFmtId="0" fontId="30" fillId="0" borderId="2" applyFont="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3" fillId="0" borderId="3" applyFont="0" applyFill="0" applyAlignment="0">
      <protection/>
    </xf>
    <xf numFmtId="0" fontId="31" fillId="2" borderId="0">
      <alignment/>
      <protection/>
    </xf>
    <xf numFmtId="0" fontId="31" fillId="3" borderId="0">
      <alignment/>
      <protection/>
    </xf>
    <xf numFmtId="0" fontId="33" fillId="0" borderId="3" applyFont="0" applyFill="0" applyAlignment="0">
      <protection/>
    </xf>
    <xf numFmtId="0" fontId="30" fillId="0" borderId="2" applyFont="0" applyAlignment="0">
      <protection/>
    </xf>
    <xf numFmtId="0" fontId="16" fillId="0" borderId="3" applyAlignment="0">
      <protection/>
    </xf>
    <xf numFmtId="0" fontId="30" fillId="0" borderId="2" applyFont="0" applyAlignment="0">
      <protection/>
    </xf>
    <xf numFmtId="0" fontId="30" fillId="0" borderId="2" applyFont="0" applyAlignment="0">
      <protection/>
    </xf>
    <xf numFmtId="0" fontId="32" fillId="2" borderId="0">
      <alignment/>
      <protection/>
    </xf>
    <xf numFmtId="0" fontId="32" fillId="3" borderId="0">
      <alignment/>
      <protection/>
    </xf>
    <xf numFmtId="0" fontId="34" fillId="0" borderId="0">
      <alignment/>
      <protection/>
    </xf>
    <xf numFmtId="9" fontId="35" fillId="0" borderId="0" applyFont="0" applyFill="0" applyBorder="0" applyAlignment="0" applyProtection="0"/>
    <xf numFmtId="0" fontId="36" fillId="2" borderId="0">
      <alignment/>
      <protection/>
    </xf>
    <xf numFmtId="0" fontId="31" fillId="2" borderId="0">
      <alignment/>
      <protection/>
    </xf>
    <xf numFmtId="0" fontId="16" fillId="0" borderId="2" applyNumberFormat="0" applyFill="0">
      <alignment/>
      <protection/>
    </xf>
    <xf numFmtId="0" fontId="16" fillId="0" borderId="2" applyNumberFormat="0" applyFill="0">
      <alignment/>
      <protection/>
    </xf>
    <xf numFmtId="0" fontId="36" fillId="2" borderId="0">
      <alignment/>
      <protection/>
    </xf>
    <xf numFmtId="0" fontId="31" fillId="2" borderId="0">
      <alignment/>
      <protection/>
    </xf>
    <xf numFmtId="0" fontId="31" fillId="3" borderId="0">
      <alignment/>
      <protection/>
    </xf>
    <xf numFmtId="0" fontId="36" fillId="2" borderId="0">
      <alignment/>
      <protection/>
    </xf>
    <xf numFmtId="0" fontId="36" fillId="2" borderId="0">
      <alignment/>
      <protection/>
    </xf>
    <xf numFmtId="0" fontId="36" fillId="3" borderId="0">
      <alignment/>
      <protection/>
    </xf>
    <xf numFmtId="0" fontId="36" fillId="3" borderId="0">
      <alignment/>
      <protection/>
    </xf>
    <xf numFmtId="0" fontId="36" fillId="3" borderId="0">
      <alignment/>
      <protection/>
    </xf>
    <xf numFmtId="0" fontId="31" fillId="2" borderId="0">
      <alignment/>
      <protection/>
    </xf>
    <xf numFmtId="0" fontId="31" fillId="3" borderId="0">
      <alignment/>
      <protection/>
    </xf>
    <xf numFmtId="0" fontId="16" fillId="2" borderId="0">
      <alignment/>
      <protection/>
    </xf>
    <xf numFmtId="0" fontId="16" fillId="2" borderId="0">
      <alignment/>
      <protection/>
    </xf>
    <xf numFmtId="0" fontId="16" fillId="3" borderId="0">
      <alignment/>
      <protection/>
    </xf>
    <xf numFmtId="0" fontId="36" fillId="2" borderId="0">
      <alignment/>
      <protection/>
    </xf>
    <xf numFmtId="0" fontId="36" fillId="3" borderId="0">
      <alignment/>
      <protection/>
    </xf>
    <xf numFmtId="0" fontId="36" fillId="2"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16" fillId="0" borderId="2" applyNumberFormat="0" applyFill="0">
      <alignment/>
      <protection/>
    </xf>
    <xf numFmtId="0" fontId="16" fillId="0" borderId="2" applyNumberFormat="0" applyFill="0">
      <alignment/>
      <protection/>
    </xf>
    <xf numFmtId="0" fontId="16" fillId="0" borderId="2" applyNumberFormat="0" applyFill="0">
      <alignment/>
      <protection/>
    </xf>
    <xf numFmtId="0" fontId="31" fillId="2" borderId="0">
      <alignment/>
      <protection/>
    </xf>
    <xf numFmtId="0" fontId="31" fillId="3" borderId="0">
      <alignment/>
      <protection/>
    </xf>
    <xf numFmtId="0" fontId="16" fillId="0" borderId="2" applyNumberFormat="0" applyAlignment="0">
      <protection/>
    </xf>
    <xf numFmtId="0" fontId="16" fillId="0" borderId="2" applyNumberFormat="0" applyFill="0">
      <alignment/>
      <protection/>
    </xf>
    <xf numFmtId="0" fontId="36" fillId="2" borderId="0">
      <alignment/>
      <protection/>
    </xf>
    <xf numFmtId="0" fontId="36" fillId="3" borderId="0">
      <alignment/>
      <protection/>
    </xf>
    <xf numFmtId="0" fontId="0" fillId="4" borderId="0" applyNumberFormat="0" applyBorder="0" applyAlignment="0" applyProtection="0"/>
    <xf numFmtId="0" fontId="37"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8" borderId="0" applyNumberFormat="0" applyBorder="0" applyAlignment="0" applyProtection="0"/>
    <xf numFmtId="0" fontId="37" fillId="9" borderId="0" applyNumberFormat="0" applyBorder="0" applyAlignment="0" applyProtection="0"/>
    <xf numFmtId="0" fontId="0" fillId="10" borderId="0" applyNumberFormat="0" applyBorder="0" applyAlignment="0" applyProtection="0"/>
    <xf numFmtId="0" fontId="37"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37" fillId="9" borderId="0" applyNumberFormat="0" applyBorder="0" applyAlignment="0" applyProtection="0"/>
    <xf numFmtId="0" fontId="38" fillId="2" borderId="0">
      <alignment/>
      <protection/>
    </xf>
    <xf numFmtId="0" fontId="31" fillId="2" borderId="0">
      <alignment/>
      <protection/>
    </xf>
    <xf numFmtId="0" fontId="38" fillId="2" borderId="0">
      <alignment/>
      <protection/>
    </xf>
    <xf numFmtId="0" fontId="31" fillId="2" borderId="0">
      <alignment/>
      <protection/>
    </xf>
    <xf numFmtId="0" fontId="31" fillId="3" borderId="0">
      <alignment/>
      <protection/>
    </xf>
    <xf numFmtId="0" fontId="38" fillId="2" borderId="0">
      <alignment/>
      <protection/>
    </xf>
    <xf numFmtId="0" fontId="38" fillId="2" borderId="0">
      <alignment/>
      <protection/>
    </xf>
    <xf numFmtId="0" fontId="38" fillId="3" borderId="0">
      <alignment/>
      <protection/>
    </xf>
    <xf numFmtId="0" fontId="38" fillId="3" borderId="0">
      <alignment/>
      <protection/>
    </xf>
    <xf numFmtId="0" fontId="38" fillId="3" borderId="0">
      <alignment/>
      <protection/>
    </xf>
    <xf numFmtId="0" fontId="31" fillId="2" borderId="0">
      <alignment/>
      <protection/>
    </xf>
    <xf numFmtId="0" fontId="31" fillId="3" borderId="0">
      <alignment/>
      <protection/>
    </xf>
    <xf numFmtId="0" fontId="16" fillId="2" borderId="0">
      <alignment/>
      <protection/>
    </xf>
    <xf numFmtId="0" fontId="16" fillId="2" borderId="0">
      <alignment/>
      <protection/>
    </xf>
    <xf numFmtId="0" fontId="16" fillId="3" borderId="0">
      <alignment/>
      <protection/>
    </xf>
    <xf numFmtId="0" fontId="38" fillId="3" borderId="0">
      <alignment/>
      <protection/>
    </xf>
    <xf numFmtId="0" fontId="38" fillId="2"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8" fillId="2" borderId="0">
      <alignment/>
      <protection/>
    </xf>
    <xf numFmtId="0" fontId="38" fillId="3" borderId="0">
      <alignment/>
      <protection/>
    </xf>
    <xf numFmtId="0" fontId="39" fillId="0" borderId="0">
      <alignment wrapText="1"/>
      <protection/>
    </xf>
    <xf numFmtId="0" fontId="31" fillId="0" borderId="0">
      <alignment wrapText="1"/>
      <protection/>
    </xf>
    <xf numFmtId="0" fontId="39" fillId="0" borderId="0">
      <alignment wrapText="1"/>
      <protection/>
    </xf>
    <xf numFmtId="0" fontId="31" fillId="0" borderId="0">
      <alignment wrapText="1"/>
      <protection/>
    </xf>
    <xf numFmtId="0" fontId="31" fillId="0" borderId="0">
      <alignment wrapText="1"/>
      <protection/>
    </xf>
    <xf numFmtId="0" fontId="16" fillId="0" borderId="0">
      <alignment wrapText="1"/>
      <protection/>
    </xf>
    <xf numFmtId="0" fontId="31" fillId="0" borderId="0">
      <alignment wrapText="1"/>
      <protection/>
    </xf>
    <xf numFmtId="0" fontId="31" fillId="0" borderId="0">
      <alignment wrapText="1"/>
      <protection/>
    </xf>
    <xf numFmtId="0" fontId="31" fillId="0" borderId="0">
      <alignment wrapText="1"/>
      <protection/>
    </xf>
    <xf numFmtId="0" fontId="39" fillId="0" borderId="0">
      <alignment wrapText="1"/>
      <protection/>
    </xf>
    <xf numFmtId="0" fontId="0" fillId="15" borderId="0" applyNumberFormat="0" applyBorder="0" applyAlignment="0" applyProtection="0"/>
    <xf numFmtId="0" fontId="37" fillId="13" borderId="0" applyNumberFormat="0" applyBorder="0" applyAlignment="0" applyProtection="0"/>
    <xf numFmtId="0" fontId="0" fillId="16" borderId="0" applyNumberFormat="0" applyBorder="0" applyAlignment="0" applyProtection="0"/>
    <xf numFmtId="0" fontId="37" fillId="7" borderId="0" applyNumberFormat="0" applyBorder="0" applyAlignment="0" applyProtection="0"/>
    <xf numFmtId="0" fontId="0" fillId="17" borderId="0" applyNumberFormat="0" applyBorder="0" applyAlignment="0" applyProtection="0"/>
    <xf numFmtId="0" fontId="37" fillId="9" borderId="0" applyNumberFormat="0" applyBorder="0" applyAlignment="0" applyProtection="0"/>
    <xf numFmtId="0" fontId="0" fillId="18" borderId="0" applyNumberFormat="0" applyBorder="0" applyAlignment="0" applyProtection="0"/>
    <xf numFmtId="0" fontId="37" fillId="2" borderId="0" applyNumberFormat="0" applyBorder="0" applyAlignment="0" applyProtection="0"/>
    <xf numFmtId="0" fontId="0" fillId="19" borderId="0" applyNumberFormat="0" applyBorder="0" applyAlignment="0" applyProtection="0"/>
    <xf numFmtId="0" fontId="37" fillId="13" borderId="0" applyNumberFormat="0" applyBorder="0" applyAlignment="0" applyProtection="0"/>
    <xf numFmtId="0" fontId="0" fillId="20" borderId="0" applyNumberFormat="0" applyBorder="0" applyAlignment="0" applyProtection="0"/>
    <xf numFmtId="0" fontId="37" fillId="9" borderId="0" applyNumberFormat="0" applyBorder="0" applyAlignment="0" applyProtection="0"/>
    <xf numFmtId="0" fontId="16" fillId="0" borderId="0">
      <alignment/>
      <protection/>
    </xf>
    <xf numFmtId="0" fontId="15" fillId="0" borderId="0">
      <alignment/>
      <protection/>
    </xf>
    <xf numFmtId="0" fontId="15" fillId="0" borderId="0">
      <alignment/>
      <protection/>
    </xf>
    <xf numFmtId="0" fontId="168" fillId="21" borderId="0" applyNumberFormat="0" applyBorder="0" applyAlignment="0" applyProtection="0"/>
    <xf numFmtId="0" fontId="40" fillId="13" borderId="0" applyNumberFormat="0" applyBorder="0" applyAlignment="0" applyProtection="0"/>
    <xf numFmtId="0" fontId="168" fillId="22" borderId="0" applyNumberFormat="0" applyBorder="0" applyAlignment="0" applyProtection="0"/>
    <xf numFmtId="0" fontId="40" fillId="7" borderId="0" applyNumberFormat="0" applyBorder="0" applyAlignment="0" applyProtection="0"/>
    <xf numFmtId="0" fontId="168" fillId="23" borderId="0" applyNumberFormat="0" applyBorder="0" applyAlignment="0" applyProtection="0"/>
    <xf numFmtId="0" fontId="40" fillId="24" borderId="0" applyNumberFormat="0" applyBorder="0" applyAlignment="0" applyProtection="0"/>
    <xf numFmtId="0" fontId="168" fillId="25" borderId="0" applyNumberFormat="0" applyBorder="0" applyAlignment="0" applyProtection="0"/>
    <xf numFmtId="0" fontId="40" fillId="26" borderId="0" applyNumberFormat="0" applyBorder="0" applyAlignment="0" applyProtection="0"/>
    <xf numFmtId="0" fontId="168" fillId="27" borderId="0" applyNumberFormat="0" applyBorder="0" applyAlignment="0" applyProtection="0"/>
    <xf numFmtId="0" fontId="40" fillId="13" borderId="0" applyNumberFormat="0" applyBorder="0" applyAlignment="0" applyProtection="0"/>
    <xf numFmtId="0" fontId="168" fillId="28" borderId="0" applyNumberFormat="0" applyBorder="0" applyAlignment="0" applyProtection="0"/>
    <xf numFmtId="0" fontId="40" fillId="7" borderId="0" applyNumberFormat="0" applyBorder="0" applyAlignment="0" applyProtection="0"/>
    <xf numFmtId="0" fontId="168" fillId="29" borderId="0" applyNumberFormat="0" applyBorder="0" applyAlignment="0" applyProtection="0"/>
    <xf numFmtId="0" fontId="40" fillId="30" borderId="0" applyNumberFormat="0" applyBorder="0" applyAlignment="0" applyProtection="0"/>
    <xf numFmtId="0" fontId="168" fillId="31" borderId="0" applyNumberFormat="0" applyBorder="0" applyAlignment="0" applyProtection="0"/>
    <xf numFmtId="0" fontId="40" fillId="32" borderId="0" applyNumberFormat="0" applyBorder="0" applyAlignment="0" applyProtection="0"/>
    <xf numFmtId="0" fontId="168" fillId="33" borderId="0" applyNumberFormat="0" applyBorder="0" applyAlignment="0" applyProtection="0"/>
    <xf numFmtId="0" fontId="40" fillId="24" borderId="0" applyNumberFormat="0" applyBorder="0" applyAlignment="0" applyProtection="0"/>
    <xf numFmtId="0" fontId="168" fillId="34" borderId="0" applyNumberFormat="0" applyBorder="0" applyAlignment="0" applyProtection="0"/>
    <xf numFmtId="0" fontId="40" fillId="35" borderId="0" applyNumberFormat="0" applyBorder="0" applyAlignment="0" applyProtection="0"/>
    <xf numFmtId="0" fontId="168" fillId="36" borderId="0" applyNumberFormat="0" applyBorder="0" applyAlignment="0" applyProtection="0"/>
    <xf numFmtId="0" fontId="40" fillId="30" borderId="0" applyNumberFormat="0" applyBorder="0" applyAlignment="0" applyProtection="0"/>
    <xf numFmtId="0" fontId="168" fillId="37" borderId="0" applyNumberFormat="0" applyBorder="0" applyAlignment="0" applyProtection="0"/>
    <xf numFmtId="0" fontId="40" fillId="38" borderId="0" applyNumberFormat="0" applyBorder="0" applyAlignment="0" applyProtection="0"/>
    <xf numFmtId="178" fontId="41" fillId="0" borderId="0" applyFont="0" applyFill="0" applyBorder="0" applyAlignment="0" applyProtection="0"/>
    <xf numFmtId="0" fontId="42" fillId="0" borderId="0" applyFont="0" applyFill="0" applyBorder="0" applyAlignment="0" applyProtection="0"/>
    <xf numFmtId="178" fontId="43" fillId="0" borderId="0" applyFont="0" applyFill="0" applyBorder="0" applyAlignment="0" applyProtection="0"/>
    <xf numFmtId="182" fontId="41" fillId="0" borderId="0" applyFont="0" applyFill="0" applyBorder="0" applyAlignment="0" applyProtection="0"/>
    <xf numFmtId="0" fontId="42" fillId="0" borderId="0" applyFont="0" applyFill="0" applyBorder="0" applyAlignment="0" applyProtection="0"/>
    <xf numFmtId="182" fontId="43" fillId="0" borderId="0" applyFont="0" applyFill="0" applyBorder="0" applyAlignment="0" applyProtection="0"/>
    <xf numFmtId="0" fontId="44" fillId="0" borderId="0">
      <alignment horizontal="center" wrapText="1"/>
      <protection locked="0"/>
    </xf>
    <xf numFmtId="183" fontId="41" fillId="0" borderId="0" applyFont="0" applyFill="0" applyBorder="0" applyAlignment="0" applyProtection="0"/>
    <xf numFmtId="0" fontId="42" fillId="0" borderId="0" applyFont="0" applyFill="0" applyBorder="0" applyAlignment="0" applyProtection="0"/>
    <xf numFmtId="184" fontId="16" fillId="0" borderId="0" applyFont="0" applyFill="0" applyBorder="0" applyAlignment="0" applyProtection="0"/>
    <xf numFmtId="185" fontId="41" fillId="0" borderId="0" applyFont="0" applyFill="0" applyBorder="0" applyAlignment="0" applyProtection="0"/>
    <xf numFmtId="0" fontId="42" fillId="0" borderId="0" applyFont="0" applyFill="0" applyBorder="0" applyAlignment="0" applyProtection="0"/>
    <xf numFmtId="186" fontId="16" fillId="0" borderId="0" applyFont="0" applyFill="0" applyBorder="0" applyAlignment="0" applyProtection="0"/>
    <xf numFmtId="0" fontId="169" fillId="39" borderId="0" applyNumberFormat="0" applyBorder="0" applyAlignment="0" applyProtection="0"/>
    <xf numFmtId="0" fontId="45" fillId="40" borderId="0" applyNumberFormat="0" applyBorder="0" applyAlignment="0" applyProtection="0"/>
    <xf numFmtId="0" fontId="46" fillId="0" borderId="0" applyNumberFormat="0" applyFill="0" applyBorder="0" applyAlignment="0" applyProtection="0"/>
    <xf numFmtId="0" fontId="42" fillId="0" borderId="0">
      <alignment/>
      <protection/>
    </xf>
    <xf numFmtId="0" fontId="47" fillId="0" borderId="0">
      <alignment/>
      <protection/>
    </xf>
    <xf numFmtId="0" fontId="42" fillId="0" borderId="0">
      <alignment/>
      <protection/>
    </xf>
    <xf numFmtId="0" fontId="48" fillId="0" borderId="0">
      <alignment/>
      <protection/>
    </xf>
    <xf numFmtId="0" fontId="49" fillId="0" borderId="0">
      <alignment/>
      <protection/>
    </xf>
    <xf numFmtId="187" fontId="16" fillId="0" borderId="0" applyFill="0" applyBorder="0" applyAlignment="0">
      <protection/>
    </xf>
    <xf numFmtId="169" fontId="50" fillId="0" borderId="0" applyFill="0" applyBorder="0" applyAlignment="0">
      <protection/>
    </xf>
    <xf numFmtId="188" fontId="50" fillId="0" borderId="0" applyFill="0" applyBorder="0" applyAlignment="0">
      <protection/>
    </xf>
    <xf numFmtId="189" fontId="50" fillId="0" borderId="0" applyFill="0" applyBorder="0" applyAlignment="0">
      <protection/>
    </xf>
    <xf numFmtId="190" fontId="18"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170" fillId="41" borderId="4" applyNumberFormat="0" applyAlignment="0" applyProtection="0"/>
    <xf numFmtId="0" fontId="51" fillId="42" borderId="5" applyNumberFormat="0" applyAlignment="0" applyProtection="0"/>
    <xf numFmtId="0" fontId="52" fillId="0" borderId="0">
      <alignment/>
      <protection/>
    </xf>
    <xf numFmtId="0" fontId="171" fillId="43" borderId="6" applyNumberFormat="0" applyAlignment="0" applyProtection="0"/>
    <xf numFmtId="0" fontId="53" fillId="44" borderId="7" applyNumberFormat="0" applyAlignment="0" applyProtection="0"/>
    <xf numFmtId="166" fontId="54" fillId="0" borderId="0" applyFont="0" applyFill="0" applyBorder="0" applyAlignment="0" applyProtection="0"/>
    <xf numFmtId="1" fontId="55" fillId="0" borderId="8" applyBorder="0">
      <alignment/>
      <protection/>
    </xf>
    <xf numFmtId="43" fontId="1" fillId="0" borderId="0" applyFont="0" applyFill="0" applyBorder="0" applyAlignment="0" applyProtection="0"/>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193" fontId="54" fillId="0" borderId="0">
      <alignment/>
      <protection/>
    </xf>
    <xf numFmtId="41" fontId="1" fillId="0" borderId="0" applyFont="0" applyFill="0" applyBorder="0" applyAlignment="0" applyProtection="0"/>
    <xf numFmtId="41" fontId="104" fillId="0" borderId="0" applyFont="0" applyFill="0" applyBorder="0" applyAlignment="0" applyProtection="0"/>
    <xf numFmtId="191" fontId="5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94" fontId="12" fillId="0" borderId="0">
      <alignment/>
      <protection/>
    </xf>
    <xf numFmtId="43" fontId="8" fillId="0" borderId="0" applyFont="0" applyFill="0" applyBorder="0" applyAlignment="0" applyProtection="0"/>
    <xf numFmtId="3" fontId="18" fillId="0" borderId="0" applyFont="0" applyFill="0" applyBorder="0" applyAlignment="0" applyProtection="0"/>
    <xf numFmtId="0" fontId="57" fillId="0" borderId="0" applyNumberFormat="0" applyAlignment="0">
      <protection/>
    </xf>
    <xf numFmtId="44" fontId="1" fillId="0" borderId="0" applyFont="0" applyFill="0" applyBorder="0" applyAlignment="0" applyProtection="0"/>
    <xf numFmtId="42" fontId="1" fillId="0" borderId="0" applyFont="0" applyFill="0" applyBorder="0" applyAlignment="0" applyProtection="0"/>
    <xf numFmtId="169" fontId="50" fillId="0" borderId="0" applyFont="0" applyFill="0" applyBorder="0" applyAlignment="0" applyProtection="0"/>
    <xf numFmtId="196" fontId="18" fillId="0" borderId="0" applyFont="0" applyFill="0" applyBorder="0" applyAlignment="0" applyProtection="0"/>
    <xf numFmtId="197" fontId="18" fillId="0" borderId="0">
      <alignment/>
      <protection/>
    </xf>
    <xf numFmtId="0" fontId="18" fillId="0" borderId="0" applyFont="0" applyFill="0" applyBorder="0" applyAlignment="0" applyProtection="0"/>
    <xf numFmtId="14" fontId="58" fillId="0" borderId="0" applyFill="0" applyBorder="0" applyAlignment="0">
      <protection/>
    </xf>
    <xf numFmtId="0" fontId="15" fillId="0" borderId="0" applyFill="0" applyBorder="0" applyAlignment="0" applyProtection="0"/>
    <xf numFmtId="198" fontId="18" fillId="0" borderId="9">
      <alignment vertical="center"/>
      <protection/>
    </xf>
    <xf numFmtId="199" fontId="18" fillId="0" borderId="0" applyFont="0" applyFill="0" applyBorder="0" applyAlignment="0" applyProtection="0"/>
    <xf numFmtId="200" fontId="18" fillId="0" borderId="0" applyFont="0" applyFill="0" applyBorder="0" applyAlignment="0" applyProtection="0"/>
    <xf numFmtId="201" fontId="18" fillId="0" borderId="0">
      <alignment/>
      <protection/>
    </xf>
    <xf numFmtId="0" fontId="59" fillId="0" borderId="0">
      <alignment vertical="top" wrapText="1"/>
      <protection/>
    </xf>
    <xf numFmtId="173" fontId="60" fillId="0" borderId="0" applyFont="0" applyFill="0" applyBorder="0" applyAlignment="0" applyProtection="0"/>
    <xf numFmtId="174"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202" fontId="15" fillId="0" borderId="0" applyFill="0" applyBorder="0" applyAlignment="0" applyProtection="0"/>
    <xf numFmtId="202" fontId="15" fillId="0" borderId="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3" fontId="15" fillId="0" borderId="0" applyFill="0" applyBorder="0" applyAlignment="0" applyProtection="0"/>
    <xf numFmtId="203" fontId="15" fillId="0" borderId="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2" fontId="15" fillId="0" borderId="0" applyFill="0" applyBorder="0" applyAlignment="0" applyProtection="0"/>
    <xf numFmtId="203" fontId="15" fillId="0" borderId="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202" fontId="15" fillId="0" borderId="0" applyFill="0" applyBorder="0" applyAlignment="0" applyProtection="0"/>
    <xf numFmtId="202" fontId="15" fillId="0" borderId="0" applyFill="0" applyBorder="0" applyAlignment="0" applyProtection="0"/>
    <xf numFmtId="173" fontId="60" fillId="0" borderId="0" applyFont="0" applyFill="0" applyBorder="0" applyAlignment="0" applyProtection="0"/>
    <xf numFmtId="173"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03" fontId="15" fillId="0" borderId="0" applyFill="0" applyBorder="0" applyAlignment="0" applyProtection="0"/>
    <xf numFmtId="203" fontId="15" fillId="0" borderId="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204" fontId="15" fillId="0" borderId="0" applyFill="0" applyBorder="0" applyAlignment="0" applyProtection="0"/>
    <xf numFmtId="204" fontId="15" fillId="0" borderId="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205" fontId="15" fillId="0" borderId="0" applyFill="0" applyBorder="0" applyAlignment="0" applyProtection="0"/>
    <xf numFmtId="205" fontId="15" fillId="0" borderId="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6" fontId="15" fillId="0" borderId="0" applyFill="0" applyBorder="0" applyAlignment="0" applyProtection="0"/>
    <xf numFmtId="206" fontId="15" fillId="0" borderId="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5" fontId="15" fillId="0" borderId="0" applyFill="0" applyBorder="0" applyAlignment="0" applyProtection="0"/>
    <xf numFmtId="206" fontId="15" fillId="0" borderId="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205" fontId="15" fillId="0" borderId="0" applyFill="0" applyBorder="0" applyAlignment="0" applyProtection="0"/>
    <xf numFmtId="205" fontId="15" fillId="0" borderId="0" applyFill="0" applyBorder="0" applyAlignment="0" applyProtection="0"/>
    <xf numFmtId="174" fontId="60" fillId="0" borderId="0" applyFont="0" applyFill="0" applyBorder="0" applyAlignment="0" applyProtection="0"/>
    <xf numFmtId="17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6" fontId="15" fillId="0" borderId="0" applyFill="0" applyBorder="0" applyAlignment="0" applyProtection="0"/>
    <xf numFmtId="206" fontId="15" fillId="0" borderId="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207" fontId="15" fillId="0" borderId="0" applyFill="0" applyBorder="0" applyAlignment="0" applyProtection="0"/>
    <xf numFmtId="207" fontId="15" fillId="0" borderId="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3" fontId="60" fillId="0" borderId="0" applyFont="0" applyFill="0" applyBorder="0" applyAlignment="0" applyProtection="0"/>
    <xf numFmtId="3" fontId="16" fillId="0" borderId="0" applyFont="0" applyBorder="0" applyAlignment="0">
      <protection/>
    </xf>
    <xf numFmtId="3" fontId="15" fillId="0" borderId="0" applyBorder="0" applyAlignment="0">
      <protection/>
    </xf>
    <xf numFmtId="3" fontId="16" fillId="0" borderId="0" applyFont="0" applyBorder="0" applyAlignment="0">
      <protection/>
    </xf>
    <xf numFmtId="191" fontId="50" fillId="0" borderId="0" applyFill="0" applyBorder="0" applyAlignment="0">
      <protection/>
    </xf>
    <xf numFmtId="169" fontId="50"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61" fillId="0" borderId="0" applyNumberFormat="0" applyAlignment="0">
      <protection/>
    </xf>
    <xf numFmtId="208" fontId="18" fillId="0" borderId="0" applyFont="0" applyFill="0" applyBorder="0" applyAlignment="0" applyProtection="0"/>
    <xf numFmtId="0" fontId="172" fillId="0" borderId="0" applyNumberFormat="0" applyFill="0" applyBorder="0" applyAlignment="0" applyProtection="0"/>
    <xf numFmtId="0" fontId="62" fillId="0" borderId="0" applyNumberFormat="0" applyFill="0" applyBorder="0" applyAlignment="0" applyProtection="0"/>
    <xf numFmtId="3" fontId="16" fillId="0" borderId="0" applyFont="0" applyBorder="0" applyAlignment="0">
      <protection/>
    </xf>
    <xf numFmtId="3" fontId="15" fillId="0" borderId="0" applyBorder="0" applyAlignment="0">
      <protection/>
    </xf>
    <xf numFmtId="3" fontId="16" fillId="0" borderId="0" applyFont="0" applyBorder="0" applyAlignment="0">
      <protection/>
    </xf>
    <xf numFmtId="2" fontId="18" fillId="0" borderId="0" applyFont="0" applyFill="0" applyBorder="0" applyAlignment="0" applyProtection="0"/>
    <xf numFmtId="0" fontId="173" fillId="45" borderId="0" applyNumberFormat="0" applyBorder="0" applyAlignment="0" applyProtection="0"/>
    <xf numFmtId="0" fontId="63" fillId="13" borderId="0" applyNumberFormat="0" applyBorder="0" applyAlignment="0" applyProtection="0"/>
    <xf numFmtId="38" fontId="64" fillId="2" borderId="0" applyNumberFormat="0" applyBorder="0" applyAlignment="0" applyProtection="0"/>
    <xf numFmtId="0" fontId="65" fillId="0" borderId="10" applyNumberFormat="0" applyFill="0" applyBorder="0" applyAlignment="0" applyProtection="0"/>
    <xf numFmtId="0" fontId="66" fillId="0" borderId="0" applyNumberFormat="0" applyFont="0" applyBorder="0" applyAlignment="0">
      <protection/>
    </xf>
    <xf numFmtId="0" fontId="67" fillId="46" borderId="0">
      <alignment/>
      <protection/>
    </xf>
    <xf numFmtId="0" fontId="68" fillId="0" borderId="0">
      <alignment horizontal="left"/>
      <protection/>
    </xf>
    <xf numFmtId="0" fontId="69" fillId="0" borderId="11" applyNumberFormat="0" applyAlignment="0" applyProtection="0"/>
    <xf numFmtId="0" fontId="69" fillId="0" borderId="12">
      <alignment horizontal="left" vertical="center"/>
      <protection/>
    </xf>
    <xf numFmtId="0" fontId="174" fillId="0" borderId="13" applyNumberFormat="0" applyFill="0" applyAlignment="0" applyProtection="0"/>
    <xf numFmtId="0" fontId="70" fillId="0" borderId="0" applyNumberFormat="0" applyFill="0" applyBorder="0" applyAlignment="0" applyProtection="0"/>
    <xf numFmtId="0" fontId="175" fillId="0" borderId="14" applyNumberFormat="0" applyFill="0" applyAlignment="0" applyProtection="0"/>
    <xf numFmtId="0" fontId="69" fillId="0" borderId="0" applyNumberFormat="0" applyFill="0" applyBorder="0" applyAlignment="0" applyProtection="0"/>
    <xf numFmtId="0" fontId="176" fillId="0" borderId="15" applyNumberFormat="0" applyFill="0" applyAlignment="0" applyProtection="0"/>
    <xf numFmtId="0" fontId="71" fillId="0" borderId="16" applyNumberFormat="0" applyFill="0" applyAlignment="0" applyProtection="0"/>
    <xf numFmtId="0" fontId="176" fillId="0" borderId="0" applyNumberFormat="0" applyFill="0" applyBorder="0" applyAlignment="0" applyProtection="0"/>
    <xf numFmtId="0" fontId="71" fillId="0" borderId="0" applyNumberFormat="0" applyFill="0" applyBorder="0" applyAlignment="0" applyProtection="0"/>
    <xf numFmtId="0" fontId="70" fillId="0" borderId="0" applyProtection="0">
      <alignment/>
    </xf>
    <xf numFmtId="209" fontId="16" fillId="0" borderId="0">
      <alignment/>
      <protection locked="0"/>
    </xf>
    <xf numFmtId="0" fontId="70" fillId="0" borderId="0" applyProtection="0">
      <alignment/>
    </xf>
    <xf numFmtId="0" fontId="69" fillId="0" borderId="0" applyProtection="0">
      <alignment/>
    </xf>
    <xf numFmtId="0" fontId="72" fillId="0" borderId="17">
      <alignment horizontal="center"/>
      <protection/>
    </xf>
    <xf numFmtId="0" fontId="72" fillId="0" borderId="0">
      <alignment horizontal="center"/>
      <protection/>
    </xf>
    <xf numFmtId="5" fontId="73" fillId="47" borderId="3" applyNumberFormat="0" applyAlignment="0">
      <protection/>
    </xf>
    <xf numFmtId="49" fontId="74" fillId="0" borderId="3">
      <alignment vertical="center"/>
      <protection/>
    </xf>
    <xf numFmtId="0" fontId="177" fillId="48" borderId="4" applyNumberFormat="0" applyAlignment="0" applyProtection="0"/>
    <xf numFmtId="10" fontId="64" fillId="9" borderId="3" applyNumberFormat="0" applyBorder="0" applyAlignment="0" applyProtection="0"/>
    <xf numFmtId="0" fontId="75" fillId="0" borderId="0">
      <alignment/>
      <protection/>
    </xf>
    <xf numFmtId="2" fontId="76" fillId="0" borderId="18" applyBorder="0">
      <alignment/>
      <protection/>
    </xf>
    <xf numFmtId="0" fontId="16" fillId="0" borderId="0">
      <alignment/>
      <protection/>
    </xf>
    <xf numFmtId="0" fontId="77" fillId="0" borderId="19">
      <alignment horizontal="center" vertical="center" wrapText="1"/>
      <protection/>
    </xf>
    <xf numFmtId="0" fontId="25" fillId="0" borderId="0">
      <alignment/>
      <protection/>
    </xf>
    <xf numFmtId="0" fontId="25" fillId="0" borderId="0">
      <alignment/>
      <protection/>
    </xf>
    <xf numFmtId="191" fontId="50" fillId="0" borderId="0" applyFill="0" applyBorder="0" applyAlignment="0">
      <protection/>
    </xf>
    <xf numFmtId="169" fontId="50"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178" fillId="0" borderId="20" applyNumberFormat="0" applyFill="0" applyAlignment="0" applyProtection="0"/>
    <xf numFmtId="0" fontId="78" fillId="0" borderId="21" applyNumberFormat="0" applyFill="0" applyAlignment="0" applyProtection="0"/>
    <xf numFmtId="38" fontId="25" fillId="0" borderId="0" applyFont="0" applyFill="0" applyBorder="0" applyAlignment="0" applyProtection="0"/>
    <xf numFmtId="4" fontId="50"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79" fillId="0" borderId="17">
      <alignment/>
      <protection/>
    </xf>
    <xf numFmtId="210" fontId="80" fillId="0" borderId="22">
      <alignment/>
      <protection/>
    </xf>
    <xf numFmtId="211" fontId="25" fillId="0" borderId="0" applyFont="0" applyFill="0" applyBorder="0" applyAlignment="0" applyProtection="0"/>
    <xf numFmtId="212" fontId="25" fillId="0" borderId="0" applyFon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81" fillId="0" borderId="0" applyNumberFormat="0" applyFont="0" applyFill="0" applyAlignment="0">
      <protection/>
    </xf>
    <xf numFmtId="0" fontId="54" fillId="0" borderId="0" applyNumberFormat="0" applyFill="0" applyAlignment="0">
      <protection/>
    </xf>
    <xf numFmtId="0" fontId="15" fillId="0" borderId="0" applyNumberFormat="0" applyFill="0" applyAlignment="0">
      <protection/>
    </xf>
    <xf numFmtId="0" fontId="81" fillId="0" borderId="0" applyNumberFormat="0" applyFont="0" applyFill="0" applyAlignment="0">
      <protection/>
    </xf>
    <xf numFmtId="0" fontId="179" fillId="49" borderId="0" applyNumberFormat="0" applyBorder="0" applyAlignment="0" applyProtection="0"/>
    <xf numFmtId="0" fontId="82" fillId="50" borderId="0" applyNumberFormat="0" applyBorder="0" applyAlignment="0" applyProtection="0"/>
    <xf numFmtId="0" fontId="10" fillId="0" borderId="3">
      <alignment/>
      <protection/>
    </xf>
    <xf numFmtId="0" fontId="12" fillId="0" borderId="0">
      <alignment/>
      <protection/>
    </xf>
    <xf numFmtId="0" fontId="10" fillId="0" borderId="23">
      <alignment/>
      <protection/>
    </xf>
    <xf numFmtId="37" fontId="83" fillId="0" borderId="0">
      <alignment/>
      <protection/>
    </xf>
    <xf numFmtId="0" fontId="84" fillId="0" borderId="3" applyNumberFormat="0" applyFont="0" applyFill="0" applyBorder="0" applyAlignment="0">
      <protection/>
    </xf>
    <xf numFmtId="213" fontId="85" fillId="0" borderId="0">
      <alignment/>
      <protection/>
    </xf>
    <xf numFmtId="0" fontId="86" fillId="0" borderId="0">
      <alignment/>
      <protection/>
    </xf>
    <xf numFmtId="0" fontId="11" fillId="0" borderId="0">
      <alignment/>
      <protection/>
    </xf>
    <xf numFmtId="0" fontId="16" fillId="0" borderId="0">
      <alignment/>
      <protection/>
    </xf>
    <xf numFmtId="0" fontId="10" fillId="0" borderId="0">
      <alignment/>
      <protection/>
    </xf>
    <xf numFmtId="0" fontId="16" fillId="0" borderId="0">
      <alignment/>
      <protection/>
    </xf>
    <xf numFmtId="0" fontId="137" fillId="0" borderId="0">
      <alignment/>
      <protection/>
    </xf>
    <xf numFmtId="0" fontId="8" fillId="0" borderId="0">
      <alignment/>
      <protection/>
    </xf>
    <xf numFmtId="0" fontId="16"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8" fillId="0" borderId="0">
      <alignment/>
      <protection/>
    </xf>
    <xf numFmtId="0" fontId="7" fillId="0" borderId="0">
      <alignment/>
      <protection/>
    </xf>
    <xf numFmtId="0" fontId="7" fillId="0" borderId="0">
      <alignment/>
      <protection/>
    </xf>
    <xf numFmtId="0" fontId="54" fillId="0" borderId="0">
      <alignment/>
      <protection/>
    </xf>
    <xf numFmtId="0" fontId="7" fillId="0" borderId="0">
      <alignment/>
      <protection/>
    </xf>
    <xf numFmtId="0" fontId="8" fillId="0" borderId="0">
      <alignment/>
      <protection/>
    </xf>
    <xf numFmtId="0" fontId="16" fillId="0" borderId="0">
      <alignment/>
      <protection/>
    </xf>
    <xf numFmtId="0" fontId="50" fillId="42" borderId="0">
      <alignment/>
      <protection/>
    </xf>
    <xf numFmtId="0" fontId="60" fillId="0" borderId="0">
      <alignment/>
      <protection/>
    </xf>
    <xf numFmtId="0" fontId="1" fillId="51" borderId="24" applyNumberFormat="0" applyFont="0" applyAlignment="0" applyProtection="0"/>
    <xf numFmtId="0" fontId="54" fillId="9" borderId="25" applyNumberFormat="0" applyFont="0" applyAlignment="0" applyProtection="0"/>
    <xf numFmtId="3" fontId="87" fillId="0" borderId="0" applyFont="0" applyFill="0" applyBorder="0" applyAlignment="0" applyProtection="0"/>
    <xf numFmtId="173" fontId="28" fillId="0" borderId="0" applyFon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5" fillId="0" borderId="0" applyFill="0" applyBorder="0" applyAlignment="0" applyProtection="0"/>
    <xf numFmtId="0" fontId="12" fillId="0" borderId="0">
      <alignment/>
      <protection/>
    </xf>
    <xf numFmtId="0" fontId="180" fillId="41" borderId="26" applyNumberFormat="0" applyAlignment="0" applyProtection="0"/>
    <xf numFmtId="0" fontId="89" fillId="42" borderId="5" applyNumberFormat="0" applyAlignment="0" applyProtection="0"/>
    <xf numFmtId="0" fontId="2" fillId="42" borderId="0">
      <alignment/>
      <protection/>
    </xf>
    <xf numFmtId="14" fontId="44" fillId="0" borderId="0">
      <alignment horizontal="center" wrapText="1"/>
      <protection locked="0"/>
    </xf>
    <xf numFmtId="9" fontId="1" fillId="0" borderId="0" applyFont="0" applyFill="0" applyBorder="0" applyAlignment="0" applyProtection="0"/>
    <xf numFmtId="190" fontId="18" fillId="0" borderId="0" applyFont="0" applyFill="0" applyBorder="0" applyAlignment="0" applyProtection="0"/>
    <xf numFmtId="168" fontId="18" fillId="0" borderId="0" applyFont="0" applyFill="0" applyBorder="0" applyAlignment="0" applyProtection="0"/>
    <xf numFmtId="10" fontId="18" fillId="0" borderId="0" applyFont="0" applyFill="0" applyBorder="0" applyAlignment="0" applyProtection="0"/>
    <xf numFmtId="9" fontId="25" fillId="0" borderId="27" applyNumberFormat="0" applyBorder="0">
      <alignment/>
      <protection/>
    </xf>
    <xf numFmtId="191" fontId="50" fillId="0" borderId="0" applyFill="0" applyBorder="0" applyAlignment="0">
      <protection/>
    </xf>
    <xf numFmtId="169" fontId="50" fillId="0" borderId="0" applyFill="0" applyBorder="0" applyAlignment="0">
      <protection/>
    </xf>
    <xf numFmtId="191" fontId="50" fillId="0" borderId="0" applyFill="0" applyBorder="0" applyAlignment="0">
      <protection/>
    </xf>
    <xf numFmtId="192" fontId="50" fillId="0" borderId="0" applyFill="0" applyBorder="0" applyAlignment="0">
      <protection/>
    </xf>
    <xf numFmtId="169" fontId="50" fillId="0" borderId="0" applyFill="0" applyBorder="0" applyAlignment="0">
      <protection/>
    </xf>
    <xf numFmtId="0" fontId="90" fillId="0" borderId="0">
      <alignment/>
      <protection/>
    </xf>
    <xf numFmtId="0" fontId="25" fillId="0" borderId="0" applyNumberFormat="0" applyFont="0" applyFill="0" applyBorder="0" applyAlignment="0" applyProtection="0"/>
    <xf numFmtId="0" fontId="56" fillId="0" borderId="17">
      <alignment horizontal="center"/>
      <protection/>
    </xf>
    <xf numFmtId="0" fontId="91" fillId="52" borderId="0" applyNumberFormat="0" applyFont="0" applyBorder="0" applyAlignment="0">
      <protection/>
    </xf>
    <xf numFmtId="14" fontId="92" fillId="0" borderId="0" applyNumberFormat="0" applyFill="0" applyBorder="0" applyAlignment="0" applyProtection="0"/>
    <xf numFmtId="0" fontId="16" fillId="0" borderId="0" applyNumberFormat="0" applyFill="0" applyBorder="0" applyAlignment="0" applyProtection="0"/>
    <xf numFmtId="4" fontId="93" fillId="50" borderId="28" applyNumberFormat="0" applyProtection="0">
      <alignment vertical="center"/>
    </xf>
    <xf numFmtId="4" fontId="94" fillId="50" borderId="28" applyNumberFormat="0" applyProtection="0">
      <alignment vertical="center"/>
    </xf>
    <xf numFmtId="4" fontId="95" fillId="50" borderId="28" applyNumberFormat="0" applyProtection="0">
      <alignment horizontal="left" vertical="center" indent="1"/>
    </xf>
    <xf numFmtId="4" fontId="95" fillId="35" borderId="0" applyNumberFormat="0" applyProtection="0">
      <alignment horizontal="left" vertical="center" indent="1"/>
    </xf>
    <xf numFmtId="4" fontId="95" fillId="38" borderId="28" applyNumberFormat="0" applyProtection="0">
      <alignment horizontal="right" vertical="center"/>
    </xf>
    <xf numFmtId="4" fontId="95" fillId="40" borderId="28" applyNumberFormat="0" applyProtection="0">
      <alignment horizontal="right" vertical="center"/>
    </xf>
    <xf numFmtId="4" fontId="95" fillId="7" borderId="28" applyNumberFormat="0" applyProtection="0">
      <alignment horizontal="right" vertical="center"/>
    </xf>
    <xf numFmtId="4" fontId="95" fillId="53" borderId="28" applyNumberFormat="0" applyProtection="0">
      <alignment horizontal="right" vertical="center"/>
    </xf>
    <xf numFmtId="4" fontId="95" fillId="24" borderId="28" applyNumberFormat="0" applyProtection="0">
      <alignment horizontal="right" vertical="center"/>
    </xf>
    <xf numFmtId="4" fontId="95" fillId="11" borderId="28" applyNumberFormat="0" applyProtection="0">
      <alignment horizontal="right" vertical="center"/>
    </xf>
    <xf numFmtId="4" fontId="95" fillId="54" borderId="28" applyNumberFormat="0" applyProtection="0">
      <alignment horizontal="right" vertical="center"/>
    </xf>
    <xf numFmtId="4" fontId="95" fillId="55" borderId="28" applyNumberFormat="0" applyProtection="0">
      <alignment horizontal="right" vertical="center"/>
    </xf>
    <xf numFmtId="4" fontId="95" fillId="56" borderId="28" applyNumberFormat="0" applyProtection="0">
      <alignment horizontal="right" vertical="center"/>
    </xf>
    <xf numFmtId="4" fontId="93" fillId="57" borderId="29" applyNumberFormat="0" applyProtection="0">
      <alignment horizontal="left" vertical="center" indent="1"/>
    </xf>
    <xf numFmtId="4" fontId="93" fillId="5" borderId="0" applyNumberFormat="0" applyProtection="0">
      <alignment horizontal="left" vertical="center" indent="1"/>
    </xf>
    <xf numFmtId="4" fontId="93" fillId="35" borderId="0" applyNumberFormat="0" applyProtection="0">
      <alignment horizontal="left" vertical="center" indent="1"/>
    </xf>
    <xf numFmtId="4" fontId="95" fillId="5" borderId="28" applyNumberFormat="0" applyProtection="0">
      <alignment horizontal="right" vertical="center"/>
    </xf>
    <xf numFmtId="4" fontId="58" fillId="5" borderId="0" applyNumberFormat="0" applyProtection="0">
      <alignment horizontal="left" vertical="center" indent="1"/>
    </xf>
    <xf numFmtId="4" fontId="58" fillId="35" borderId="0" applyNumberFormat="0" applyProtection="0">
      <alignment horizontal="left" vertical="center" indent="1"/>
    </xf>
    <xf numFmtId="4" fontId="95" fillId="58" borderId="28" applyNumberFormat="0" applyProtection="0">
      <alignment vertical="center"/>
    </xf>
    <xf numFmtId="4" fontId="96" fillId="58" borderId="28" applyNumberFormat="0" applyProtection="0">
      <alignment vertical="center"/>
    </xf>
    <xf numFmtId="4" fontId="93" fillId="5" borderId="30" applyNumberFormat="0" applyProtection="0">
      <alignment horizontal="left" vertical="center" indent="1"/>
    </xf>
    <xf numFmtId="4" fontId="95" fillId="58" borderId="28" applyNumberFormat="0" applyProtection="0">
      <alignment horizontal="right" vertical="center"/>
    </xf>
    <xf numFmtId="4" fontId="96" fillId="58" borderId="28" applyNumberFormat="0" applyProtection="0">
      <alignment horizontal="right" vertical="center"/>
    </xf>
    <xf numFmtId="4" fontId="93" fillId="5" borderId="28" applyNumberFormat="0" applyProtection="0">
      <alignment horizontal="left" vertical="center" indent="1"/>
    </xf>
    <xf numFmtId="4" fontId="97" fillId="47" borderId="30" applyNumberFormat="0" applyProtection="0">
      <alignment horizontal="left" vertical="center" indent="1"/>
    </xf>
    <xf numFmtId="4" fontId="98" fillId="58" borderId="28" applyNumberFormat="0" applyProtection="0">
      <alignment horizontal="right" vertical="center"/>
    </xf>
    <xf numFmtId="0" fontId="91" fillId="1" borderId="12" applyNumberFormat="0" applyFont="0" applyAlignment="0">
      <protection/>
    </xf>
    <xf numFmtId="0" fontId="99" fillId="0" borderId="0" applyNumberFormat="0" applyFill="0" applyBorder="0" applyAlignment="0" applyProtection="0"/>
    <xf numFmtId="0" fontId="100" fillId="0" borderId="0" applyNumberFormat="0" applyFill="0" applyBorder="0" applyAlignment="0">
      <protection/>
    </xf>
    <xf numFmtId="0" fontId="18" fillId="0" borderId="0">
      <alignment/>
      <protection/>
    </xf>
    <xf numFmtId="166" fontId="101" fillId="0" borderId="0" applyNumberFormat="0" applyBorder="0" applyAlignment="0">
      <protection/>
    </xf>
    <xf numFmtId="0" fontId="15" fillId="0" borderId="0" applyNumberFormat="0" applyFill="0" applyBorder="0" applyAlignment="0" applyProtection="0"/>
    <xf numFmtId="166" fontId="54" fillId="0" borderId="0" applyFont="0" applyFill="0" applyBorder="0" applyAlignment="0" applyProtection="0"/>
    <xf numFmtId="0" fontId="102" fillId="0" borderId="0">
      <alignment/>
      <protection/>
    </xf>
    <xf numFmtId="0" fontId="79" fillId="0" borderId="0">
      <alignment/>
      <protection/>
    </xf>
    <xf numFmtId="40" fontId="103" fillId="0" borderId="0" applyBorder="0">
      <alignment horizontal="right"/>
      <protection/>
    </xf>
    <xf numFmtId="214" fontId="10"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4" fontId="10" fillId="0" borderId="18">
      <alignment horizontal="right" vertical="center"/>
      <protection/>
    </xf>
    <xf numFmtId="214" fontId="10" fillId="0" borderId="18">
      <alignment horizontal="right" vertical="center"/>
      <protection/>
    </xf>
    <xf numFmtId="216" fontId="15" fillId="0" borderId="18">
      <alignment horizontal="right" vertical="center"/>
      <protection/>
    </xf>
    <xf numFmtId="216" fontId="15" fillId="0" borderId="18">
      <alignment horizontal="right" vertical="center"/>
      <protection/>
    </xf>
    <xf numFmtId="217" fontId="15" fillId="0" borderId="31">
      <alignment horizontal="right" vertical="center"/>
      <protection/>
    </xf>
    <xf numFmtId="216" fontId="15" fillId="0" borderId="18">
      <alignment horizontal="right" vertical="center"/>
      <protection/>
    </xf>
    <xf numFmtId="218" fontId="16" fillId="0" borderId="18">
      <alignment horizontal="right" vertical="center"/>
      <protection/>
    </xf>
    <xf numFmtId="218" fontId="16" fillId="0" borderId="18">
      <alignment horizontal="right" vertical="center"/>
      <protection/>
    </xf>
    <xf numFmtId="214" fontId="10" fillId="0" borderId="18">
      <alignment horizontal="right" vertical="center"/>
      <protection/>
    </xf>
    <xf numFmtId="214" fontId="10" fillId="0" borderId="18">
      <alignment horizontal="right" vertical="center"/>
      <protection/>
    </xf>
    <xf numFmtId="219" fontId="16" fillId="0" borderId="18">
      <alignment horizontal="right" vertical="center"/>
      <protection/>
    </xf>
    <xf numFmtId="218" fontId="16" fillId="0" borderId="18">
      <alignment horizontal="right" vertical="center"/>
      <protection/>
    </xf>
    <xf numFmtId="219" fontId="16" fillId="0" borderId="31">
      <alignment horizontal="right" vertical="center"/>
      <protection/>
    </xf>
    <xf numFmtId="219" fontId="16" fillId="0" borderId="18">
      <alignment horizontal="right" vertical="center"/>
      <protection/>
    </xf>
    <xf numFmtId="216" fontId="15" fillId="0" borderId="18">
      <alignment horizontal="right" vertical="center"/>
      <protection/>
    </xf>
    <xf numFmtId="215" fontId="10" fillId="0" borderId="31">
      <alignment horizontal="right" vertical="center"/>
      <protection/>
    </xf>
    <xf numFmtId="218" fontId="16" fillId="0" borderId="18">
      <alignment horizontal="right" vertical="center"/>
      <protection/>
    </xf>
    <xf numFmtId="220" fontId="16" fillId="0" borderId="31">
      <alignment horizontal="right" vertical="center"/>
      <protection/>
    </xf>
    <xf numFmtId="218" fontId="16"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9" fontId="16" fillId="0" borderId="18">
      <alignment horizontal="right" vertical="center"/>
      <protection/>
    </xf>
    <xf numFmtId="218" fontId="16" fillId="0" borderId="18">
      <alignment horizontal="right" vertical="center"/>
      <protection/>
    </xf>
    <xf numFmtId="221" fontId="16" fillId="0" borderId="18">
      <alignment horizontal="right" vertical="center"/>
      <protection/>
    </xf>
    <xf numFmtId="222" fontId="16" fillId="0" borderId="31">
      <alignment horizontal="right" vertical="center"/>
      <protection/>
    </xf>
    <xf numFmtId="221" fontId="16" fillId="0" borderId="18">
      <alignment horizontal="right" vertical="center"/>
      <protection/>
    </xf>
    <xf numFmtId="219" fontId="16" fillId="0" borderId="18">
      <alignment horizontal="right" vertical="center"/>
      <protection/>
    </xf>
    <xf numFmtId="219" fontId="16" fillId="0" borderId="31">
      <alignment horizontal="right" vertical="center"/>
      <protection/>
    </xf>
    <xf numFmtId="219" fontId="16"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4" fontId="10" fillId="0" borderId="18">
      <alignment horizontal="right" vertical="center"/>
      <protection/>
    </xf>
    <xf numFmtId="218" fontId="16" fillId="0" borderId="18">
      <alignment horizontal="right" vertical="center"/>
      <protection/>
    </xf>
    <xf numFmtId="223" fontId="104" fillId="0" borderId="18">
      <alignment horizontal="right" vertical="center"/>
      <protection/>
    </xf>
    <xf numFmtId="224" fontId="104" fillId="0" borderId="31">
      <alignment horizontal="right" vertical="center"/>
      <protection/>
    </xf>
    <xf numFmtId="223" fontId="104" fillId="0" borderId="18">
      <alignment horizontal="right" vertical="center"/>
      <protection/>
    </xf>
    <xf numFmtId="214" fontId="10" fillId="0" borderId="18">
      <alignment horizontal="right" vertical="center"/>
      <protection/>
    </xf>
    <xf numFmtId="214" fontId="10" fillId="0" borderId="18">
      <alignment horizontal="right" vertical="center"/>
      <protection/>
    </xf>
    <xf numFmtId="225" fontId="16"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6" fontId="15" fillId="0" borderId="18">
      <alignment horizontal="right" vertical="center"/>
      <protection/>
    </xf>
    <xf numFmtId="217" fontId="15" fillId="0" borderId="31">
      <alignment horizontal="right" vertical="center"/>
      <protection/>
    </xf>
    <xf numFmtId="216" fontId="15" fillId="0" borderId="18">
      <alignment horizontal="right" vertical="center"/>
      <protection/>
    </xf>
    <xf numFmtId="214" fontId="10" fillId="0" borderId="18">
      <alignment horizontal="right" vertical="center"/>
      <protection/>
    </xf>
    <xf numFmtId="215" fontId="10" fillId="0" borderId="31">
      <alignment horizontal="right" vertical="center"/>
      <protection/>
    </xf>
    <xf numFmtId="214" fontId="10" fillId="0" borderId="18">
      <alignment horizontal="right" vertical="center"/>
      <protection/>
    </xf>
    <xf numFmtId="214" fontId="10" fillId="0" borderId="18">
      <alignment horizontal="right" vertical="center"/>
      <protection/>
    </xf>
    <xf numFmtId="3" fontId="105" fillId="0" borderId="8">
      <alignment/>
      <protection/>
    </xf>
    <xf numFmtId="49" fontId="58" fillId="0" borderId="0" applyFill="0" applyBorder="0" applyAlignment="0">
      <protection/>
    </xf>
    <xf numFmtId="226" fontId="18" fillId="0" borderId="0" applyFill="0" applyBorder="0" applyAlignment="0">
      <protection/>
    </xf>
    <xf numFmtId="227" fontId="18" fillId="0" borderId="0" applyFill="0" applyBorder="0" applyAlignment="0">
      <protection/>
    </xf>
    <xf numFmtId="228" fontId="10" fillId="0" borderId="18">
      <alignment horizontal="center"/>
      <protection/>
    </xf>
    <xf numFmtId="0" fontId="16" fillId="0" borderId="32">
      <alignment/>
      <protection/>
    </xf>
    <xf numFmtId="0" fontId="106" fillId="0" borderId="33">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54" fillId="0" borderId="2" applyNumberFormat="0" applyBorder="0" applyAlignment="0">
      <protection/>
    </xf>
    <xf numFmtId="0" fontId="107" fillId="0" borderId="22" applyNumberFormat="0" applyBorder="0" applyAlignment="0">
      <protection/>
    </xf>
    <xf numFmtId="0" fontId="108" fillId="0" borderId="0">
      <alignment horizontal="center"/>
      <protection/>
    </xf>
    <xf numFmtId="3" fontId="109" fillId="0" borderId="0" applyNumberFormat="0" applyFill="0" applyBorder="0" applyAlignment="0" applyProtection="0"/>
    <xf numFmtId="0" fontId="110" fillId="0" borderId="34" applyBorder="0" applyAlignment="0">
      <protection/>
    </xf>
    <xf numFmtId="0" fontId="111" fillId="0" borderId="0" applyNumberFormat="0" applyFill="0" applyBorder="0" applyAlignment="0" applyProtection="0"/>
    <xf numFmtId="0" fontId="65" fillId="0" borderId="35" applyNumberFormat="0" applyFill="0" applyBorder="0" applyAlignment="0" applyProtection="0"/>
    <xf numFmtId="0" fontId="181" fillId="0" borderId="0" applyNumberFormat="0" applyFill="0" applyBorder="0" applyAlignment="0" applyProtection="0"/>
    <xf numFmtId="0" fontId="112" fillId="0" borderId="0" applyNumberFormat="0" applyFill="0" applyBorder="0" applyAlignment="0" applyProtection="0"/>
    <xf numFmtId="0" fontId="113" fillId="0" borderId="36" applyNumberFormat="0" applyBorder="0" applyAlignment="0">
      <protection/>
    </xf>
    <xf numFmtId="0" fontId="182" fillId="0" borderId="37" applyNumberFormat="0" applyFill="0" applyAlignment="0" applyProtection="0"/>
    <xf numFmtId="0" fontId="18" fillId="0" borderId="38" applyNumberFormat="0" applyFont="0" applyFill="0" applyAlignment="0" applyProtection="0"/>
    <xf numFmtId="229" fontId="16" fillId="0" borderId="0" applyFont="0" applyFill="0" applyBorder="0" applyAlignment="0" applyProtection="0"/>
    <xf numFmtId="230" fontId="16" fillId="0" borderId="0" applyFont="0" applyFill="0" applyBorder="0" applyAlignment="0" applyProtection="0"/>
    <xf numFmtId="0" fontId="69" fillId="0" borderId="39">
      <alignment horizontal="center"/>
      <protection/>
    </xf>
    <xf numFmtId="227" fontId="10" fillId="0" borderId="0">
      <alignment/>
      <protection/>
    </xf>
    <xf numFmtId="231" fontId="10" fillId="0" borderId="3">
      <alignment/>
      <protection/>
    </xf>
    <xf numFmtId="0" fontId="85" fillId="0" borderId="0">
      <alignment/>
      <protection/>
    </xf>
    <xf numFmtId="0" fontId="85" fillId="0" borderId="0">
      <alignment/>
      <protection/>
    </xf>
    <xf numFmtId="0" fontId="114" fillId="0" borderId="40" applyFill="0" applyBorder="0" applyAlignment="0">
      <protection/>
    </xf>
    <xf numFmtId="5" fontId="115" fillId="59" borderId="34">
      <alignment vertical="top"/>
      <protection/>
    </xf>
    <xf numFmtId="0" fontId="33" fillId="60" borderId="3">
      <alignment horizontal="left" vertical="center"/>
      <protection/>
    </xf>
    <xf numFmtId="6" fontId="116" fillId="61" borderId="34">
      <alignment/>
      <protection/>
    </xf>
    <xf numFmtId="5" fontId="73" fillId="0" borderId="34">
      <alignment horizontal="left" vertical="top"/>
      <protection/>
    </xf>
    <xf numFmtId="0" fontId="117" fillId="62" borderId="0">
      <alignment horizontal="left" vertical="center"/>
      <protection/>
    </xf>
    <xf numFmtId="5" fontId="15" fillId="0" borderId="41">
      <alignment horizontal="left" vertical="top"/>
      <protection/>
    </xf>
    <xf numFmtId="0" fontId="118" fillId="0" borderId="41">
      <alignment horizontal="left" vertical="center"/>
      <protection/>
    </xf>
    <xf numFmtId="232" fontId="18" fillId="0" borderId="0" applyFont="0" applyFill="0" applyBorder="0" applyAlignment="0" applyProtection="0"/>
    <xf numFmtId="233" fontId="18" fillId="0" borderId="0" applyFont="0" applyFill="0" applyBorder="0" applyAlignment="0" applyProtection="0"/>
    <xf numFmtId="42" fontId="60" fillId="0" borderId="0" applyFont="0" applyFill="0" applyBorder="0" applyAlignment="0" applyProtection="0"/>
    <xf numFmtId="44" fontId="60" fillId="0" borderId="0" applyFont="0" applyFill="0" applyBorder="0" applyAlignment="0" applyProtection="0"/>
    <xf numFmtId="0" fontId="183" fillId="0" borderId="0" applyNumberFormat="0" applyFill="0" applyBorder="0" applyAlignment="0" applyProtection="0"/>
    <xf numFmtId="0" fontId="78" fillId="0" borderId="0" applyNumberFormat="0" applyFill="0" applyBorder="0" applyAlignment="0" applyProtection="0"/>
    <xf numFmtId="0" fontId="119" fillId="0" borderId="42" applyNumberFormat="0" applyFont="0" applyAlignment="0">
      <protection/>
    </xf>
    <xf numFmtId="0" fontId="120" fillId="0" borderId="0" applyNumberForma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1" fillId="0" borderId="0">
      <alignment/>
      <protection/>
    </xf>
    <xf numFmtId="0" fontId="126" fillId="0" borderId="0" applyFont="0" applyFill="0" applyBorder="0" applyAlignment="0" applyProtection="0"/>
    <xf numFmtId="0" fontId="126" fillId="0" borderId="0" applyFont="0" applyFill="0" applyBorder="0" applyAlignment="0" applyProtection="0"/>
    <xf numFmtId="0" fontId="7" fillId="0" borderId="0">
      <alignment vertical="center"/>
      <protection/>
    </xf>
    <xf numFmtId="40" fontId="122" fillId="0" borderId="0" applyFont="0" applyFill="0" applyBorder="0" applyAlignment="0" applyProtection="0"/>
    <xf numFmtId="38" fontId="12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xf numFmtId="9" fontId="86" fillId="0" borderId="0" applyFont="0" applyFill="0" applyBorder="0" applyAlignment="0" applyProtection="0"/>
    <xf numFmtId="0" fontId="12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86" fillId="0" borderId="0" applyFont="0" applyFill="0" applyBorder="0" applyAlignment="0" applyProtection="0"/>
    <xf numFmtId="0" fontId="86" fillId="0" borderId="0" applyFont="0" applyFill="0" applyBorder="0" applyAlignment="0" applyProtection="0"/>
    <xf numFmtId="180" fontId="86" fillId="0" borderId="0" applyFont="0" applyFill="0" applyBorder="0" applyAlignment="0" applyProtection="0"/>
    <xf numFmtId="181" fontId="86" fillId="0" borderId="0" applyFont="0" applyFill="0" applyBorder="0" applyAlignment="0" applyProtection="0"/>
    <xf numFmtId="0" fontId="125" fillId="0" borderId="0">
      <alignment/>
      <protection/>
    </xf>
    <xf numFmtId="0" fontId="81" fillId="0" borderId="0">
      <alignment/>
      <protection/>
    </xf>
    <xf numFmtId="173" fontId="124" fillId="0" borderId="0" applyFont="0" applyFill="0" applyBorder="0" applyAlignment="0" applyProtection="0"/>
    <xf numFmtId="174" fontId="124" fillId="0" borderId="0" applyFont="0" applyFill="0" applyBorder="0" applyAlignment="0" applyProtection="0"/>
    <xf numFmtId="43" fontId="16" fillId="0" borderId="0" applyFont="0" applyFill="0" applyBorder="0" applyAlignment="0" applyProtection="0"/>
    <xf numFmtId="183" fontId="54" fillId="0" borderId="0" applyFont="0" applyFill="0" applyBorder="0" applyAlignment="0" applyProtection="0"/>
    <xf numFmtId="0" fontId="12" fillId="0" borderId="0">
      <alignment/>
      <protection/>
    </xf>
    <xf numFmtId="195" fontId="124" fillId="0" borderId="0" applyFont="0" applyFill="0" applyBorder="0" applyAlignment="0" applyProtection="0"/>
    <xf numFmtId="6" fontId="22" fillId="0" borderId="0" applyFont="0" applyFill="0" applyBorder="0" applyAlignment="0" applyProtection="0"/>
    <xf numFmtId="191" fontId="124" fillId="0" borderId="0" applyFont="0" applyFill="0" applyBorder="0" applyAlignment="0" applyProtection="0"/>
    <xf numFmtId="44" fontId="54" fillId="0" borderId="0" applyFont="0" applyFill="0" applyBorder="0" applyAlignment="0" applyProtection="0"/>
    <xf numFmtId="42" fontId="54" fillId="0" borderId="0" applyFont="0" applyFill="0" applyBorder="0" applyAlignment="0" applyProtection="0"/>
  </cellStyleXfs>
  <cellXfs count="894">
    <xf numFmtId="0" fontId="0" fillId="0" borderId="0" xfId="0" applyFont="1" applyAlignment="1">
      <alignment/>
    </xf>
    <xf numFmtId="0" fontId="129" fillId="0" borderId="0" xfId="0" applyFont="1" applyAlignment="1">
      <alignment/>
    </xf>
    <xf numFmtId="0" fontId="130" fillId="0" borderId="0" xfId="0" applyFont="1" applyAlignment="1">
      <alignment/>
    </xf>
    <xf numFmtId="0" fontId="0" fillId="0" borderId="0" xfId="0" applyAlignment="1">
      <alignment horizontal="center" vertical="center"/>
    </xf>
    <xf numFmtId="0" fontId="131" fillId="0" borderId="0" xfId="0" applyFont="1" applyAlignment="1">
      <alignment/>
    </xf>
    <xf numFmtId="0" fontId="129" fillId="0" borderId="0" xfId="0" applyFont="1" applyAlignment="1">
      <alignment horizontal="center"/>
    </xf>
    <xf numFmtId="0" fontId="129" fillId="0" borderId="0" xfId="0" applyFont="1" applyAlignment="1">
      <alignment horizontal="right"/>
    </xf>
    <xf numFmtId="0" fontId="129" fillId="42" borderId="0" xfId="0" applyFont="1" applyFill="1" applyAlignment="1">
      <alignment horizontal="right"/>
    </xf>
    <xf numFmtId="0" fontId="7" fillId="0" borderId="0" xfId="0" applyFont="1" applyAlignment="1">
      <alignment horizontal="center" vertical="center" wrapText="1"/>
    </xf>
    <xf numFmtId="1" fontId="7" fillId="0" borderId="0" xfId="0" applyNumberFormat="1" applyFont="1" applyAlignment="1">
      <alignment horizontal="center" vertical="center" wrapText="1"/>
    </xf>
    <xf numFmtId="0" fontId="132" fillId="0" borderId="0" xfId="0" applyFont="1" applyAlignment="1">
      <alignment/>
    </xf>
    <xf numFmtId="0" fontId="129" fillId="0" borderId="0" xfId="0" applyFont="1" applyFill="1" applyAlignment="1">
      <alignment/>
    </xf>
    <xf numFmtId="3" fontId="7" fillId="0" borderId="0" xfId="0" applyNumberFormat="1" applyFont="1" applyAlignment="1">
      <alignment horizontal="center" vertical="center" wrapText="1"/>
    </xf>
    <xf numFmtId="0" fontId="134" fillId="0" borderId="0" xfId="0" applyFont="1" applyAlignment="1">
      <alignment/>
    </xf>
    <xf numFmtId="0" fontId="129" fillId="0" borderId="0" xfId="0" applyFont="1" applyBorder="1" applyAlignment="1">
      <alignment/>
    </xf>
    <xf numFmtId="0" fontId="7" fillId="0" borderId="0" xfId="0" applyFont="1" applyBorder="1" applyAlignment="1">
      <alignment horizontal="center" vertical="center" wrapText="1"/>
    </xf>
    <xf numFmtId="0" fontId="11" fillId="0" borderId="0" xfId="0" applyFont="1" applyFill="1" applyAlignment="1">
      <alignment/>
    </xf>
    <xf numFmtId="0" fontId="9" fillId="0" borderId="0" xfId="0" applyFont="1" applyFill="1" applyAlignment="1">
      <alignment/>
    </xf>
    <xf numFmtId="0" fontId="7" fillId="0" borderId="0" xfId="0" applyFont="1" applyFill="1" applyAlignment="1">
      <alignment horizontal="center" vertical="center" wrapText="1"/>
    </xf>
    <xf numFmtId="0" fontId="3" fillId="0" borderId="0" xfId="0" applyFont="1" applyAlignment="1">
      <alignment/>
    </xf>
    <xf numFmtId="0" fontId="11" fillId="0" borderId="3" xfId="0" applyFont="1" applyFill="1" applyBorder="1" applyAlignment="1">
      <alignment horizontal="center" vertical="center"/>
    </xf>
    <xf numFmtId="0" fontId="127" fillId="0" borderId="0" xfId="0" applyFont="1" applyFill="1" applyAlignment="1">
      <alignment/>
    </xf>
    <xf numFmtId="0" fontId="130" fillId="0" borderId="0" xfId="0" applyFont="1" applyFill="1" applyAlignment="1">
      <alignment/>
    </xf>
    <xf numFmtId="0" fontId="182" fillId="0" borderId="0" xfId="0" applyFont="1" applyAlignment="1">
      <alignment horizontal="center" vertical="center"/>
    </xf>
    <xf numFmtId="0" fontId="127" fillId="0" borderId="0" xfId="0" applyFont="1" applyFill="1" applyBorder="1" applyAlignment="1">
      <alignment/>
    </xf>
    <xf numFmtId="0" fontId="127" fillId="42" borderId="0" xfId="0" applyFont="1" applyFill="1" applyBorder="1" applyAlignment="1">
      <alignment horizont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3"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45" xfId="0" applyFont="1" applyBorder="1" applyAlignment="1">
      <alignment horizontal="center" vertical="center"/>
    </xf>
    <xf numFmtId="0" fontId="6" fillId="0" borderId="43" xfId="0" applyFont="1" applyFill="1" applyBorder="1" applyAlignment="1">
      <alignment horizontal="left" vertical="center"/>
    </xf>
    <xf numFmtId="0" fontId="5" fillId="0" borderId="43" xfId="0" applyFont="1" applyFill="1" applyBorder="1" applyAlignment="1">
      <alignment horizontal="left" vertical="center" wrapText="1"/>
    </xf>
    <xf numFmtId="0" fontId="13" fillId="0" borderId="43" xfId="0" applyFont="1" applyFill="1" applyBorder="1" applyAlignment="1">
      <alignment horizontal="left" vertical="center"/>
    </xf>
    <xf numFmtId="0" fontId="6" fillId="0" borderId="43"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6" fillId="0" borderId="44" xfId="0" applyFont="1" applyBorder="1" applyAlignment="1">
      <alignment horizontal="left" vertical="center" wrapText="1"/>
    </xf>
    <xf numFmtId="0" fontId="6" fillId="0" borderId="44" xfId="0" applyFont="1" applyBorder="1" applyAlignment="1" quotePrefix="1">
      <alignment horizontal="left" vertical="center" wrapText="1"/>
    </xf>
    <xf numFmtId="0" fontId="6" fillId="0" borderId="46" xfId="0" applyFont="1" applyBorder="1" applyAlignment="1">
      <alignment horizontal="left" vertical="center" wrapText="1"/>
    </xf>
    <xf numFmtId="0" fontId="12" fillId="0" borderId="0" xfId="0" applyFont="1" applyFill="1" applyAlignment="1">
      <alignment/>
    </xf>
    <xf numFmtId="0" fontId="129" fillId="0" borderId="43" xfId="0" applyFont="1" applyBorder="1" applyAlignment="1">
      <alignment/>
    </xf>
    <xf numFmtId="0" fontId="129" fillId="0" borderId="45" xfId="0" applyFont="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shrinkToFit="1"/>
    </xf>
    <xf numFmtId="167"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9" fillId="0"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shrinkToFit="1"/>
    </xf>
    <xf numFmtId="167" fontId="11" fillId="0" borderId="8" xfId="0" applyNumberFormat="1" applyFont="1" applyFill="1" applyBorder="1" applyAlignment="1">
      <alignment horizontal="right" vertical="center"/>
    </xf>
    <xf numFmtId="167" fontId="9" fillId="0" borderId="8" xfId="0" applyNumberFormat="1" applyFont="1" applyFill="1" applyBorder="1" applyAlignment="1">
      <alignment horizontal="right" vertical="center"/>
    </xf>
    <xf numFmtId="167" fontId="9"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3" xfId="0" applyFont="1" applyFill="1" applyBorder="1" applyAlignment="1">
      <alignment horizontal="center" vertical="center" shrinkToFit="1"/>
    </xf>
    <xf numFmtId="167" fontId="11" fillId="0" borderId="3" xfId="0" applyNumberFormat="1" applyFont="1" applyFill="1" applyBorder="1" applyAlignment="1">
      <alignment horizontal="right" vertical="center"/>
    </xf>
    <xf numFmtId="167" fontId="127" fillId="0" borderId="3" xfId="0" applyNumberFormat="1" applyFont="1" applyFill="1" applyBorder="1" applyAlignment="1">
      <alignment horizontal="right" vertical="center"/>
    </xf>
    <xf numFmtId="0" fontId="11" fillId="0" borderId="3" xfId="0" applyFont="1" applyFill="1" applyBorder="1" applyAlignment="1">
      <alignment vertical="center"/>
    </xf>
    <xf numFmtId="0" fontId="11" fillId="0" borderId="3" xfId="0" applyFont="1" applyFill="1" applyBorder="1" applyAlignment="1">
      <alignment horizontal="center" vertical="center" shrinkToFit="1"/>
    </xf>
    <xf numFmtId="3" fontId="11" fillId="0" borderId="3" xfId="0" applyNumberFormat="1" applyFont="1" applyFill="1" applyBorder="1" applyAlignment="1">
      <alignment horizontal="right" vertical="center"/>
    </xf>
    <xf numFmtId="0" fontId="11" fillId="0" borderId="3" xfId="0" applyFont="1" applyFill="1" applyBorder="1" applyAlignment="1" quotePrefix="1">
      <alignment horizontal="left" vertical="center" wrapText="1"/>
    </xf>
    <xf numFmtId="0" fontId="11" fillId="0" borderId="0" xfId="0" applyFont="1" applyFill="1" applyAlignment="1">
      <alignment vertical="center"/>
    </xf>
    <xf numFmtId="0" fontId="127" fillId="0" borderId="0" xfId="476" applyFont="1" applyFill="1" applyBorder="1">
      <alignment/>
      <protection/>
    </xf>
    <xf numFmtId="0" fontId="138" fillId="0" borderId="0" xfId="476" applyFont="1" applyFill="1" applyBorder="1">
      <alignment/>
      <protection/>
    </xf>
    <xf numFmtId="0" fontId="5" fillId="0" borderId="45" xfId="0" applyFont="1" applyBorder="1" applyAlignment="1">
      <alignment vertical="center"/>
    </xf>
    <xf numFmtId="3" fontId="184" fillId="0" borderId="45" xfId="0" applyNumberFormat="1" applyFont="1" applyBorder="1" applyAlignment="1">
      <alignment vertical="center"/>
    </xf>
    <xf numFmtId="0" fontId="5" fillId="0" borderId="45" xfId="0" applyFont="1" applyFill="1" applyBorder="1" applyAlignment="1">
      <alignment vertical="center"/>
    </xf>
    <xf numFmtId="0" fontId="184" fillId="0" borderId="45" xfId="0" applyFont="1" applyFill="1" applyBorder="1" applyAlignment="1">
      <alignment vertical="center"/>
    </xf>
    <xf numFmtId="0" fontId="13" fillId="0" borderId="45" xfId="0" applyFont="1" applyFill="1" applyBorder="1" applyAlignment="1">
      <alignment vertical="center"/>
    </xf>
    <xf numFmtId="3" fontId="134" fillId="0" borderId="43" xfId="0" applyNumberFormat="1" applyFont="1" applyBorder="1" applyAlignment="1">
      <alignment vertical="center" wrapText="1"/>
    </xf>
    <xf numFmtId="3" fontId="134" fillId="0" borderId="45" xfId="0" applyNumberFormat="1" applyFont="1" applyBorder="1" applyAlignment="1">
      <alignment vertical="center" wrapText="1"/>
    </xf>
    <xf numFmtId="4" fontId="134" fillId="0" borderId="47" xfId="0" applyNumberFormat="1" applyFont="1" applyBorder="1" applyAlignment="1">
      <alignment vertical="center" wrapText="1"/>
    </xf>
    <xf numFmtId="4" fontId="134" fillId="0" borderId="48" xfId="0" applyNumberFormat="1" applyFont="1" applyBorder="1" applyAlignment="1">
      <alignment vertical="center" wrapText="1"/>
    </xf>
    <xf numFmtId="0" fontId="132" fillId="0" borderId="0" xfId="0" applyFont="1" applyFill="1" applyAlignment="1">
      <alignment/>
    </xf>
    <xf numFmtId="167" fontId="9" fillId="0" borderId="0" xfId="0" applyNumberFormat="1" applyFont="1" applyFill="1" applyAlignment="1">
      <alignment/>
    </xf>
    <xf numFmtId="0" fontId="0" fillId="0" borderId="0" xfId="0" applyFont="1" applyAlignment="1">
      <alignment/>
    </xf>
    <xf numFmtId="0" fontId="139" fillId="0" borderId="43" xfId="0" applyFont="1" applyBorder="1" applyAlignment="1">
      <alignment horizontal="center" vertical="center" wrapText="1"/>
    </xf>
    <xf numFmtId="0" fontId="139" fillId="0" borderId="45" xfId="0" applyFont="1" applyBorder="1" applyAlignment="1">
      <alignment horizontal="center" vertical="center" wrapText="1"/>
    </xf>
    <xf numFmtId="0" fontId="13" fillId="0" borderId="4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5" fillId="0" borderId="43" xfId="0" applyFont="1" applyFill="1" applyBorder="1" applyAlignment="1">
      <alignment vertical="center"/>
    </xf>
    <xf numFmtId="0" fontId="134" fillId="0" borderId="43" xfId="0" applyFont="1" applyBorder="1" applyAlignment="1">
      <alignment/>
    </xf>
    <xf numFmtId="0" fontId="134" fillId="0" borderId="45" xfId="0" applyFont="1" applyBorder="1" applyAlignment="1">
      <alignment/>
    </xf>
    <xf numFmtId="3" fontId="5" fillId="0" borderId="43" xfId="0" applyNumberFormat="1" applyFont="1" applyFill="1" applyBorder="1" applyAlignment="1">
      <alignment horizontal="right" vertical="center"/>
    </xf>
    <xf numFmtId="167" fontId="139" fillId="0" borderId="43" xfId="0" applyNumberFormat="1" applyFont="1" applyBorder="1" applyAlignment="1">
      <alignment vertical="center" wrapText="1"/>
    </xf>
    <xf numFmtId="167" fontId="139" fillId="0" borderId="45" xfId="0" applyNumberFormat="1" applyFont="1" applyBorder="1" applyAlignment="1">
      <alignment vertical="center" wrapText="1"/>
    </xf>
    <xf numFmtId="0" fontId="6" fillId="0" borderId="43" xfId="0" applyFont="1" applyFill="1" applyBorder="1" applyAlignment="1">
      <alignment vertical="center"/>
    </xf>
    <xf numFmtId="3" fontId="6" fillId="0" borderId="43" xfId="0" applyNumberFormat="1" applyFont="1" applyFill="1" applyBorder="1" applyAlignment="1">
      <alignment horizontal="right" vertical="center"/>
    </xf>
    <xf numFmtId="167" fontId="134" fillId="0" borderId="43" xfId="0" applyNumberFormat="1" applyFont="1" applyBorder="1" applyAlignment="1">
      <alignment vertical="center" wrapText="1"/>
    </xf>
    <xf numFmtId="167" fontId="134" fillId="0" borderId="45" xfId="0" applyNumberFormat="1" applyFont="1" applyBorder="1" applyAlignment="1">
      <alignment vertical="center" wrapText="1"/>
    </xf>
    <xf numFmtId="167" fontId="6" fillId="0" borderId="43" xfId="0" applyNumberFormat="1" applyFont="1" applyFill="1" applyBorder="1" applyAlignment="1">
      <alignment horizontal="right" vertical="center"/>
    </xf>
    <xf numFmtId="4" fontId="6" fillId="0" borderId="43" xfId="0" applyNumberFormat="1" applyFont="1" applyFill="1" applyBorder="1" applyAlignment="1">
      <alignment horizontal="right" vertical="center"/>
    </xf>
    <xf numFmtId="0" fontId="6" fillId="0" borderId="44" xfId="0" applyFont="1" applyFill="1" applyBorder="1" applyAlignment="1" quotePrefix="1">
      <alignment horizontal="center" vertical="center"/>
    </xf>
    <xf numFmtId="0" fontId="6" fillId="0" borderId="43" xfId="476" applyFont="1" applyFill="1" applyBorder="1" applyAlignment="1">
      <alignment vertical="center"/>
      <protection/>
    </xf>
    <xf numFmtId="4" fontId="13" fillId="0" borderId="43" xfId="0" applyNumberFormat="1" applyFont="1" applyFill="1" applyBorder="1" applyAlignment="1">
      <alignment horizontal="right" vertical="center"/>
    </xf>
    <xf numFmtId="3" fontId="13" fillId="0" borderId="43" xfId="0" applyNumberFormat="1" applyFont="1" applyFill="1" applyBorder="1" applyAlignment="1">
      <alignment horizontal="right" vertical="center"/>
    </xf>
    <xf numFmtId="1" fontId="6" fillId="0" borderId="43" xfId="0" applyNumberFormat="1" applyFont="1" applyFill="1" applyBorder="1" applyAlignment="1">
      <alignment horizontal="right" vertical="center"/>
    </xf>
    <xf numFmtId="0" fontId="13" fillId="0" borderId="43" xfId="0" applyFont="1" applyFill="1" applyBorder="1" applyAlignment="1" quotePrefix="1">
      <alignment vertical="center"/>
    </xf>
    <xf numFmtId="167" fontId="136" fillId="0" borderId="43" xfId="0" applyNumberFormat="1" applyFont="1" applyBorder="1" applyAlignment="1">
      <alignment vertical="center" wrapText="1"/>
    </xf>
    <xf numFmtId="167" fontId="136" fillId="0" borderId="45" xfId="0" applyNumberFormat="1" applyFont="1" applyBorder="1" applyAlignment="1">
      <alignment vertical="center" wrapText="1"/>
    </xf>
    <xf numFmtId="0" fontId="13" fillId="0" borderId="43" xfId="0" applyFont="1" applyFill="1" applyBorder="1" applyAlignment="1">
      <alignment vertical="center"/>
    </xf>
    <xf numFmtId="167" fontId="13" fillId="0" borderId="43" xfId="0" applyNumberFormat="1" applyFont="1" applyFill="1" applyBorder="1" applyAlignment="1">
      <alignment horizontal="right" vertical="center"/>
    </xf>
    <xf numFmtId="167" fontId="136" fillId="0" borderId="43" xfId="0" applyNumberFormat="1" applyFont="1" applyBorder="1" applyAlignment="1">
      <alignment vertical="center"/>
    </xf>
    <xf numFmtId="167" fontId="136" fillId="0" borderId="45" xfId="0" applyNumberFormat="1" applyFont="1" applyBorder="1" applyAlignment="1">
      <alignment vertical="center"/>
    </xf>
    <xf numFmtId="167" fontId="5" fillId="0" borderId="43" xfId="0" applyNumberFormat="1" applyFont="1" applyFill="1" applyBorder="1" applyAlignment="1">
      <alignment horizontal="right" vertical="center"/>
    </xf>
    <xf numFmtId="167" fontId="139" fillId="0" borderId="43" xfId="0" applyNumberFormat="1" applyFont="1" applyBorder="1" applyAlignment="1">
      <alignment vertical="center"/>
    </xf>
    <xf numFmtId="167" fontId="139" fillId="0" borderId="45" xfId="0" applyNumberFormat="1" applyFont="1" applyBorder="1" applyAlignment="1">
      <alignment vertical="center"/>
    </xf>
    <xf numFmtId="167" fontId="134" fillId="0" borderId="43" xfId="0" applyNumberFormat="1" applyFont="1" applyBorder="1" applyAlignment="1">
      <alignment vertical="center"/>
    </xf>
    <xf numFmtId="167" fontId="134" fillId="0" borderId="45" xfId="0" applyNumberFormat="1" applyFont="1" applyBorder="1" applyAlignment="1">
      <alignment vertical="center"/>
    </xf>
    <xf numFmtId="167" fontId="134" fillId="0" borderId="43" xfId="0" applyNumberFormat="1" applyFont="1" applyFill="1" applyBorder="1" applyAlignment="1">
      <alignment vertical="center"/>
    </xf>
    <xf numFmtId="167" fontId="134" fillId="0" borderId="45" xfId="0" applyNumberFormat="1" applyFont="1" applyFill="1" applyBorder="1" applyAlignment="1">
      <alignment vertical="center"/>
    </xf>
    <xf numFmtId="0" fontId="5" fillId="0" borderId="43" xfId="0" applyFont="1" applyFill="1" applyBorder="1" applyAlignment="1" quotePrefix="1">
      <alignment vertical="center"/>
    </xf>
    <xf numFmtId="1" fontId="5" fillId="0" borderId="43" xfId="0" applyNumberFormat="1" applyFont="1" applyFill="1" applyBorder="1" applyAlignment="1">
      <alignment horizontal="right" vertical="center"/>
    </xf>
    <xf numFmtId="1" fontId="6" fillId="0" borderId="43" xfId="0" applyNumberFormat="1" applyFont="1" applyFill="1" applyBorder="1" applyAlignment="1" quotePrefix="1">
      <alignment horizontal="right" vertical="center"/>
    </xf>
    <xf numFmtId="0" fontId="5" fillId="0" borderId="44" xfId="0" applyFont="1" applyFill="1" applyBorder="1" applyAlignment="1" quotePrefix="1">
      <alignment horizontal="center" vertical="center"/>
    </xf>
    <xf numFmtId="0" fontId="6" fillId="0" borderId="43" xfId="0" applyFont="1" applyFill="1" applyBorder="1" applyAlignment="1" quotePrefix="1">
      <alignment vertical="center"/>
    </xf>
    <xf numFmtId="167" fontId="5" fillId="0" borderId="43" xfId="264" applyNumberFormat="1" applyFont="1" applyFill="1" applyBorder="1" applyAlignment="1">
      <alignment horizontal="right" vertical="center"/>
    </xf>
    <xf numFmtId="3" fontId="5" fillId="0" borderId="43" xfId="264" applyNumberFormat="1" applyFont="1" applyFill="1" applyBorder="1" applyAlignment="1">
      <alignment horizontal="right" vertical="center"/>
    </xf>
    <xf numFmtId="167" fontId="139" fillId="0" borderId="43" xfId="0" applyNumberFormat="1" applyFont="1" applyFill="1" applyBorder="1" applyAlignment="1">
      <alignment vertical="center" wrapText="1"/>
    </xf>
    <xf numFmtId="167" fontId="139" fillId="0" borderId="45" xfId="0" applyNumberFormat="1" applyFont="1" applyFill="1" applyBorder="1" applyAlignment="1">
      <alignment vertical="center" wrapText="1"/>
    </xf>
    <xf numFmtId="4" fontId="5" fillId="0" borderId="43" xfId="0" applyNumberFormat="1" applyFont="1" applyFill="1" applyBorder="1" applyAlignment="1">
      <alignment horizontal="right" vertical="center"/>
    </xf>
    <xf numFmtId="167" fontId="6" fillId="0" borderId="43" xfId="0" applyNumberFormat="1" applyFont="1" applyFill="1" applyBorder="1" applyAlignment="1" quotePrefix="1">
      <alignment horizontal="right" vertical="center"/>
    </xf>
    <xf numFmtId="167" fontId="6" fillId="0" borderId="44" xfId="0" applyNumberFormat="1" applyFont="1" applyFill="1" applyBorder="1" applyAlignment="1">
      <alignment horizontal="center" vertical="center"/>
    </xf>
    <xf numFmtId="0" fontId="6" fillId="0" borderId="44" xfId="465" applyFont="1" applyFill="1" applyBorder="1" applyAlignment="1">
      <alignment horizontal="center" vertical="center"/>
      <protection/>
    </xf>
    <xf numFmtId="0" fontId="6" fillId="0" borderId="43" xfId="465" applyFont="1" applyFill="1" applyBorder="1" applyAlignment="1">
      <alignment vertical="center"/>
      <protection/>
    </xf>
    <xf numFmtId="0" fontId="6" fillId="0" borderId="43" xfId="465" applyFont="1" applyFill="1" applyBorder="1" applyAlignment="1">
      <alignment horizontal="center" vertical="center"/>
      <protection/>
    </xf>
    <xf numFmtId="3" fontId="6" fillId="0" borderId="43" xfId="0" applyNumberFormat="1" applyFont="1" applyFill="1" applyBorder="1" applyAlignment="1" quotePrefix="1">
      <alignment horizontal="right" vertical="center"/>
    </xf>
    <xf numFmtId="167" fontId="13" fillId="0" borderId="43" xfId="0" applyNumberFormat="1" applyFont="1" applyFill="1" applyBorder="1" applyAlignment="1" quotePrefix="1">
      <alignment horizontal="right" vertical="center"/>
    </xf>
    <xf numFmtId="0" fontId="5" fillId="0" borderId="43" xfId="0" applyFont="1" applyFill="1" applyBorder="1" applyAlignment="1">
      <alignment vertical="center" wrapText="1"/>
    </xf>
    <xf numFmtId="0" fontId="6" fillId="0" borderId="44" xfId="0" applyFont="1" applyFill="1" applyBorder="1" applyAlignment="1">
      <alignment vertical="center"/>
    </xf>
    <xf numFmtId="0" fontId="6" fillId="0" borderId="43" xfId="0" applyFont="1" applyFill="1" applyBorder="1" applyAlignment="1" quotePrefix="1">
      <alignment vertical="center" wrapText="1"/>
    </xf>
    <xf numFmtId="0" fontId="6" fillId="0" borderId="43" xfId="0" applyFont="1" applyFill="1" applyBorder="1" applyAlignment="1" quotePrefix="1">
      <alignment horizontal="left" vertical="center" wrapText="1"/>
    </xf>
    <xf numFmtId="0" fontId="6" fillId="0" borderId="43" xfId="0" applyFont="1" applyFill="1" applyBorder="1" applyAlignment="1">
      <alignment horizontal="center" vertical="center" wrapText="1"/>
    </xf>
    <xf numFmtId="167" fontId="134" fillId="0" borderId="43" xfId="0" applyNumberFormat="1" applyFont="1" applyFill="1" applyBorder="1" applyAlignment="1">
      <alignment vertical="center" wrapText="1"/>
    </xf>
    <xf numFmtId="167" fontId="134" fillId="0" borderId="45" xfId="0" applyNumberFormat="1" applyFont="1" applyFill="1" applyBorder="1" applyAlignment="1">
      <alignment vertical="center" wrapText="1"/>
    </xf>
    <xf numFmtId="0" fontId="6" fillId="0" borderId="43" xfId="0" applyFont="1" applyFill="1" applyBorder="1" applyAlignment="1">
      <alignment horizontal="center" vertical="center" shrinkToFit="1"/>
    </xf>
    <xf numFmtId="0" fontId="6" fillId="0" borderId="43" xfId="0" applyFont="1" applyFill="1" applyBorder="1" applyAlignment="1">
      <alignment vertical="center" wrapText="1"/>
    </xf>
    <xf numFmtId="0" fontId="6" fillId="0" borderId="46" xfId="0" applyFont="1" applyFill="1" applyBorder="1" applyAlignment="1">
      <alignment horizontal="center" vertical="center"/>
    </xf>
    <xf numFmtId="0" fontId="6" fillId="0" borderId="47" xfId="0" applyFont="1" applyFill="1" applyBorder="1" applyAlignment="1">
      <alignment vertical="center" wrapText="1"/>
    </xf>
    <xf numFmtId="0" fontId="6" fillId="0" borderId="47" xfId="0" applyFont="1" applyFill="1" applyBorder="1" applyAlignment="1">
      <alignment horizontal="center" vertical="center" shrinkToFit="1"/>
    </xf>
    <xf numFmtId="3" fontId="6" fillId="0" borderId="47" xfId="0" applyNumberFormat="1" applyFont="1" applyFill="1" applyBorder="1" applyAlignment="1">
      <alignment horizontal="right" vertical="center"/>
    </xf>
    <xf numFmtId="0" fontId="134" fillId="0" borderId="43" xfId="0" applyFont="1" applyBorder="1" applyAlignment="1">
      <alignment vertical="center"/>
    </xf>
    <xf numFmtId="0" fontId="134" fillId="0" borderId="44" xfId="0" applyFont="1" applyFill="1" applyBorder="1" applyAlignment="1">
      <alignment horizontal="center" vertical="center" wrapText="1"/>
    </xf>
    <xf numFmtId="4" fontId="6" fillId="0" borderId="43" xfId="0" applyNumberFormat="1" applyFont="1" applyFill="1" applyBorder="1" applyAlignment="1">
      <alignment horizontal="right" vertical="center" wrapText="1"/>
    </xf>
    <xf numFmtId="0" fontId="136" fillId="0" borderId="44" xfId="0" applyFont="1" applyFill="1" applyBorder="1" applyAlignment="1" quotePrefix="1">
      <alignment horizontal="center" vertical="center" wrapText="1"/>
    </xf>
    <xf numFmtId="0" fontId="13" fillId="0" borderId="43" xfId="0" applyFont="1" applyFill="1" applyBorder="1" applyAlignment="1">
      <alignment horizontal="left" vertical="center" wrapText="1"/>
    </xf>
    <xf numFmtId="4" fontId="13" fillId="0" borderId="43" xfId="0" applyNumberFormat="1" applyFont="1" applyFill="1" applyBorder="1" applyAlignment="1">
      <alignment horizontal="right" vertical="center" wrapText="1"/>
    </xf>
    <xf numFmtId="167" fontId="13" fillId="0" borderId="43" xfId="0" applyNumberFormat="1" applyFont="1" applyFill="1" applyBorder="1" applyAlignment="1">
      <alignment horizontal="right" vertical="center" wrapText="1"/>
    </xf>
    <xf numFmtId="235" fontId="13" fillId="0" borderId="43"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3" fontId="134" fillId="0" borderId="43" xfId="0" applyNumberFormat="1" applyFont="1" applyFill="1" applyBorder="1" applyAlignment="1">
      <alignment horizontal="right" vertical="center" wrapText="1"/>
    </xf>
    <xf numFmtId="0" fontId="134" fillId="0" borderId="43" xfId="0" applyFont="1" applyFill="1" applyBorder="1" applyAlignment="1">
      <alignment horizontal="right" vertical="center" wrapText="1"/>
    </xf>
    <xf numFmtId="0" fontId="134" fillId="0" borderId="43" xfId="0" applyFont="1" applyFill="1" applyBorder="1" applyAlignment="1" quotePrefix="1">
      <alignment horizontal="right" vertical="center" wrapText="1"/>
    </xf>
    <xf numFmtId="235" fontId="6" fillId="0" borderId="43" xfId="0" applyNumberFormat="1" applyFont="1" applyFill="1" applyBorder="1" applyAlignment="1">
      <alignment horizontal="right" vertical="center" wrapText="1"/>
    </xf>
    <xf numFmtId="235" fontId="134" fillId="0" borderId="43" xfId="0" applyNumberFormat="1" applyFont="1" applyFill="1" applyBorder="1" applyAlignment="1">
      <alignment horizontal="right" vertical="center" wrapText="1"/>
    </xf>
    <xf numFmtId="0" fontId="6" fillId="0" borderId="44" xfId="464" applyFont="1" applyFill="1" applyBorder="1" applyAlignment="1">
      <alignment horizontal="center" vertical="center" wrapText="1"/>
      <protection/>
    </xf>
    <xf numFmtId="0" fontId="6" fillId="0" borderId="43" xfId="464" applyFont="1" applyFill="1" applyBorder="1" applyAlignment="1">
      <alignment horizontal="justify" vertical="center" wrapText="1"/>
      <protection/>
    </xf>
    <xf numFmtId="0" fontId="6" fillId="0" borderId="43" xfId="464" applyFont="1" applyFill="1" applyBorder="1" applyAlignment="1">
      <alignment horizontal="center" vertical="center" wrapText="1"/>
      <protection/>
    </xf>
    <xf numFmtId="0" fontId="134" fillId="0" borderId="43" xfId="0" applyFont="1" applyFill="1" applyBorder="1" applyAlignment="1" quotePrefix="1">
      <alignment horizontal="right" vertical="center"/>
    </xf>
    <xf numFmtId="0" fontId="134" fillId="0" borderId="43" xfId="0" applyFont="1" applyFill="1" applyBorder="1" applyAlignment="1">
      <alignment horizontal="right" vertical="center"/>
    </xf>
    <xf numFmtId="167" fontId="6" fillId="0" borderId="43" xfId="0" applyNumberFormat="1" applyFont="1" applyFill="1" applyBorder="1" applyAlignment="1">
      <alignment horizontal="right" vertical="center" wrapText="1"/>
    </xf>
    <xf numFmtId="0" fontId="13" fillId="0" borderId="44" xfId="464" applyFont="1" applyFill="1" applyBorder="1" applyAlignment="1" quotePrefix="1">
      <alignment horizontal="center" vertical="center" wrapText="1"/>
      <protection/>
    </xf>
    <xf numFmtId="0" fontId="13" fillId="0" borderId="43" xfId="464" applyFont="1" applyFill="1" applyBorder="1" applyAlignment="1" quotePrefix="1">
      <alignment horizontal="justify" vertical="center" wrapText="1"/>
      <protection/>
    </xf>
    <xf numFmtId="3" fontId="13" fillId="0" borderId="43" xfId="0" applyNumberFormat="1" applyFont="1" applyFill="1" applyBorder="1" applyAlignment="1">
      <alignment horizontal="right" vertical="center" wrapText="1"/>
    </xf>
    <xf numFmtId="0" fontId="136" fillId="0" borderId="43" xfId="0" applyFont="1" applyFill="1" applyBorder="1" applyAlignment="1" quotePrefix="1">
      <alignment horizontal="right" vertical="center"/>
    </xf>
    <xf numFmtId="0" fontId="136" fillId="0" borderId="43" xfId="0" applyFont="1" applyFill="1" applyBorder="1" applyAlignment="1">
      <alignment horizontal="right" vertical="center" wrapText="1"/>
    </xf>
    <xf numFmtId="167" fontId="134" fillId="0" borderId="43" xfId="0" applyNumberFormat="1" applyFont="1" applyFill="1" applyBorder="1" applyAlignment="1">
      <alignment horizontal="right" vertical="center" wrapText="1"/>
    </xf>
    <xf numFmtId="49" fontId="6" fillId="0" borderId="43" xfId="473" applyNumberFormat="1" applyFont="1" applyFill="1" applyBorder="1" applyAlignment="1">
      <alignment horizontal="justify" vertical="center" wrapText="1"/>
      <protection/>
    </xf>
    <xf numFmtId="0" fontId="6" fillId="0" borderId="44" xfId="475" applyFont="1" applyFill="1" applyBorder="1" applyAlignment="1">
      <alignment horizontal="center" vertical="center"/>
      <protection/>
    </xf>
    <xf numFmtId="0" fontId="6" fillId="0" borderId="43" xfId="475" applyFont="1" applyFill="1" applyBorder="1" applyAlignment="1">
      <alignment horizontal="justify" vertical="center" wrapText="1"/>
      <protection/>
    </xf>
    <xf numFmtId="0" fontId="6" fillId="0" borderId="43" xfId="475" applyFont="1" applyFill="1" applyBorder="1" applyAlignment="1">
      <alignment horizontal="center" vertical="center"/>
      <protection/>
    </xf>
    <xf numFmtId="3" fontId="134" fillId="0" borderId="43" xfId="0" applyNumberFormat="1" applyFont="1" applyFill="1" applyBorder="1" applyAlignment="1" quotePrefix="1">
      <alignment horizontal="right" vertical="center" wrapText="1"/>
    </xf>
    <xf numFmtId="0" fontId="6" fillId="0" borderId="44" xfId="473" applyFont="1" applyFill="1" applyBorder="1" applyAlignment="1" quotePrefix="1">
      <alignment horizontal="center" vertical="center"/>
      <protection/>
    </xf>
    <xf numFmtId="49" fontId="6" fillId="0" borderId="43" xfId="473" applyNumberFormat="1" applyFont="1" applyFill="1" applyBorder="1" applyAlignment="1">
      <alignment horizontal="left" vertical="center" wrapText="1"/>
      <protection/>
    </xf>
    <xf numFmtId="0" fontId="6" fillId="0" borderId="43" xfId="473" applyFont="1" applyFill="1" applyBorder="1" applyAlignment="1">
      <alignment horizontal="center" vertical="center"/>
      <protection/>
    </xf>
    <xf numFmtId="0" fontId="139" fillId="0" borderId="44" xfId="0" applyFont="1" applyFill="1" applyBorder="1" applyAlignment="1">
      <alignment horizontal="center" vertical="center" wrapText="1"/>
    </xf>
    <xf numFmtId="0" fontId="139" fillId="0" borderId="49" xfId="0" applyFont="1" applyFill="1" applyBorder="1" applyAlignment="1">
      <alignment vertical="center" shrinkToFit="1"/>
    </xf>
    <xf numFmtId="0" fontId="134" fillId="0" borderId="43" xfId="0" applyFont="1" applyFill="1" applyBorder="1" applyAlignment="1">
      <alignment horizontal="center" vertical="center" wrapText="1"/>
    </xf>
    <xf numFmtId="0" fontId="134" fillId="0" borderId="43" xfId="0" applyFont="1" applyFill="1" applyBorder="1" applyAlignment="1">
      <alignment vertical="center" wrapText="1"/>
    </xf>
    <xf numFmtId="0" fontId="134" fillId="0" borderId="44" xfId="0" applyFont="1" applyFill="1" applyBorder="1" applyAlignment="1" quotePrefix="1">
      <alignment horizontal="center" vertical="center" wrapText="1"/>
    </xf>
    <xf numFmtId="4" fontId="6" fillId="0" borderId="43" xfId="0" applyNumberFormat="1" applyFont="1" applyFill="1" applyBorder="1" applyAlignment="1" quotePrefix="1">
      <alignment horizontal="right" vertical="center" wrapText="1"/>
    </xf>
    <xf numFmtId="0" fontId="6" fillId="0" borderId="44" xfId="473" applyFont="1" applyFill="1" applyBorder="1" applyAlignment="1">
      <alignment horizontal="center" vertical="center" wrapText="1"/>
      <protection/>
    </xf>
    <xf numFmtId="0" fontId="6" fillId="0" borderId="43" xfId="0" applyFont="1" applyFill="1" applyBorder="1" applyAlignment="1" quotePrefix="1">
      <alignment horizontal="right" vertical="center" wrapText="1"/>
    </xf>
    <xf numFmtId="49" fontId="6" fillId="0" borderId="43" xfId="468" applyNumberFormat="1" applyFont="1" applyFill="1" applyBorder="1" applyAlignment="1">
      <alignment horizontal="left" vertical="center" wrapText="1"/>
      <protection/>
    </xf>
    <xf numFmtId="0" fontId="6" fillId="0" borderId="43" xfId="468" applyFont="1" applyFill="1" applyBorder="1" applyAlignment="1">
      <alignment horizontal="center" vertical="center" wrapText="1"/>
      <protection/>
    </xf>
    <xf numFmtId="49" fontId="6" fillId="0" borderId="43" xfId="468" applyNumberFormat="1" applyFont="1" applyFill="1" applyBorder="1" applyAlignment="1" quotePrefix="1">
      <alignment horizontal="left" vertical="center" wrapText="1"/>
      <protection/>
    </xf>
    <xf numFmtId="0" fontId="134" fillId="0" borderId="44" xfId="0" applyFont="1" applyFill="1" applyBorder="1" applyAlignment="1" quotePrefix="1">
      <alignment horizontal="center" vertical="center"/>
    </xf>
    <xf numFmtId="3" fontId="136" fillId="0" borderId="43" xfId="0" applyNumberFormat="1" applyFont="1" applyFill="1" applyBorder="1" applyAlignment="1">
      <alignment horizontal="right" vertical="center" wrapText="1"/>
    </xf>
    <xf numFmtId="3" fontId="136" fillId="0" borderId="43" xfId="0" applyNumberFormat="1" applyFont="1" applyFill="1" applyBorder="1" applyAlignment="1" quotePrefix="1">
      <alignment horizontal="right" vertical="center" wrapText="1"/>
    </xf>
    <xf numFmtId="167" fontId="136" fillId="0" borderId="43" xfId="0" applyNumberFormat="1" applyFont="1" applyFill="1" applyBorder="1" applyAlignment="1">
      <alignment horizontal="right" vertical="center" wrapText="1"/>
    </xf>
    <xf numFmtId="49" fontId="6" fillId="0" borderId="43" xfId="473" applyNumberFormat="1" applyFont="1" applyFill="1" applyBorder="1" applyAlignment="1" quotePrefix="1">
      <alignment horizontal="justify" vertical="center" wrapText="1"/>
      <protection/>
    </xf>
    <xf numFmtId="4" fontId="134" fillId="0" borderId="43" xfId="0" applyNumberFormat="1" applyFont="1" applyFill="1" applyBorder="1" applyAlignment="1">
      <alignment horizontal="right" vertical="center" wrapText="1"/>
    </xf>
    <xf numFmtId="234" fontId="6" fillId="0" borderId="43" xfId="0" applyNumberFormat="1" applyFont="1" applyFill="1" applyBorder="1" applyAlignment="1">
      <alignment horizontal="right" vertical="center" wrapText="1"/>
    </xf>
    <xf numFmtId="0" fontId="6" fillId="0" borderId="44" xfId="473" applyFont="1" applyFill="1" applyBorder="1" applyAlignment="1">
      <alignment horizontal="center" vertical="center"/>
      <protection/>
    </xf>
    <xf numFmtId="234" fontId="6" fillId="0" borderId="43" xfId="0" applyNumberFormat="1" applyFont="1" applyFill="1" applyBorder="1" applyAlignment="1" quotePrefix="1">
      <alignment horizontal="right" vertical="center" wrapText="1"/>
    </xf>
    <xf numFmtId="49" fontId="6" fillId="0" borderId="43" xfId="468" applyNumberFormat="1" applyFont="1" applyFill="1" applyBorder="1" applyAlignment="1">
      <alignment horizontal="justify" vertical="center" wrapText="1"/>
      <protection/>
    </xf>
    <xf numFmtId="0" fontId="6" fillId="0" borderId="43" xfId="475" applyFont="1" applyFill="1" applyBorder="1" applyAlignment="1">
      <alignment horizontal="center" vertical="center" wrapText="1"/>
      <protection/>
    </xf>
    <xf numFmtId="0" fontId="129" fillId="0" borderId="50" xfId="0" applyFont="1" applyBorder="1" applyAlignment="1">
      <alignment/>
    </xf>
    <xf numFmtId="0" fontId="129" fillId="0" borderId="51" xfId="0" applyFont="1" applyBorder="1" applyAlignment="1">
      <alignment/>
    </xf>
    <xf numFmtId="0" fontId="13" fillId="0" borderId="45" xfId="0" applyFont="1" applyFill="1" applyBorder="1" applyAlignment="1">
      <alignment horizontal="center" vertical="center" wrapText="1"/>
    </xf>
    <xf numFmtId="0" fontId="140" fillId="0" borderId="43" xfId="0" applyFont="1" applyBorder="1" applyAlignment="1">
      <alignment vertical="center"/>
    </xf>
    <xf numFmtId="167" fontId="134" fillId="0" borderId="47" xfId="0" applyNumberFormat="1" applyFont="1" applyBorder="1" applyAlignment="1">
      <alignment vertical="center" wrapText="1"/>
    </xf>
    <xf numFmtId="167" fontId="134" fillId="0" borderId="48" xfId="0" applyNumberFormat="1" applyFont="1" applyBorder="1" applyAlignment="1">
      <alignment vertical="center" wrapText="1"/>
    </xf>
    <xf numFmtId="3" fontId="6" fillId="0" borderId="45" xfId="0" applyNumberFormat="1" applyFont="1" applyFill="1" applyBorder="1" applyAlignment="1">
      <alignment horizontal="right" vertical="center"/>
    </xf>
    <xf numFmtId="0" fontId="127" fillId="0" borderId="0" xfId="0" applyFont="1" applyFill="1" applyBorder="1" applyAlignment="1">
      <alignment horizontal="center"/>
    </xf>
    <xf numFmtId="0" fontId="185" fillId="0" borderId="0" xfId="0" applyFont="1" applyAlignment="1">
      <alignment horizontal="center" vertical="center"/>
    </xf>
    <xf numFmtId="0" fontId="127" fillId="42" borderId="0" xfId="0" applyFont="1" applyFill="1" applyBorder="1" applyAlignment="1">
      <alignment/>
    </xf>
    <xf numFmtId="3" fontId="5" fillId="0" borderId="45" xfId="0" applyNumberFormat="1" applyFont="1" applyFill="1" applyBorder="1" applyAlignment="1">
      <alignment vertical="center"/>
    </xf>
    <xf numFmtId="3" fontId="6" fillId="0" borderId="45" xfId="0" applyNumberFormat="1" applyFont="1" applyFill="1" applyBorder="1" applyAlignment="1">
      <alignment vertical="center"/>
    </xf>
    <xf numFmtId="0" fontId="186" fillId="0" borderId="45" xfId="0" applyFont="1" applyBorder="1" applyAlignment="1">
      <alignment horizontal="center" vertical="center" wrapText="1"/>
    </xf>
    <xf numFmtId="0" fontId="5" fillId="0" borderId="43" xfId="0" applyFont="1" applyBorder="1" applyAlignment="1">
      <alignment horizontal="center" vertical="center"/>
    </xf>
    <xf numFmtId="0" fontId="9" fillId="0" borderId="0" xfId="460" applyFont="1" applyFill="1" applyBorder="1" applyAlignment="1">
      <alignment horizontal="center" vertical="center" wrapText="1"/>
      <protection/>
    </xf>
    <xf numFmtId="0" fontId="9" fillId="0" borderId="0" xfId="476" applyFont="1" applyFill="1" applyBorder="1" applyAlignment="1">
      <alignment horizontal="right"/>
      <protection/>
    </xf>
    <xf numFmtId="0" fontId="5" fillId="0" borderId="0" xfId="476" applyFont="1" applyFill="1" applyBorder="1" applyAlignment="1">
      <alignment horizontal="center" vertical="center" wrapText="1"/>
      <protection/>
    </xf>
    <xf numFmtId="0" fontId="5" fillId="0" borderId="0" xfId="476" applyFont="1" applyFill="1" applyBorder="1" applyAlignment="1">
      <alignment horizontal="right" vertical="center"/>
      <protection/>
    </xf>
    <xf numFmtId="3" fontId="5" fillId="0" borderId="0" xfId="283" applyNumberFormat="1" applyFont="1" applyFill="1" applyBorder="1" applyAlignment="1" quotePrefix="1">
      <alignment horizontal="right" vertical="center"/>
    </xf>
    <xf numFmtId="235" fontId="6" fillId="0" borderId="43" xfId="476" applyNumberFormat="1" applyFont="1" applyFill="1" applyBorder="1" applyAlignment="1">
      <alignment horizontal="right" vertical="center"/>
      <protection/>
    </xf>
    <xf numFmtId="235" fontId="13" fillId="0" borderId="43" xfId="0" applyNumberFormat="1" applyFont="1" applyFill="1" applyBorder="1" applyAlignment="1">
      <alignment horizontal="right" vertical="center"/>
    </xf>
    <xf numFmtId="1" fontId="6" fillId="0" borderId="43" xfId="476" applyNumberFormat="1" applyFont="1" applyFill="1" applyBorder="1" applyAlignment="1">
      <alignment horizontal="right" vertical="center"/>
      <protection/>
    </xf>
    <xf numFmtId="1" fontId="13" fillId="0" borderId="43" xfId="476" applyNumberFormat="1" applyFont="1" applyFill="1" applyBorder="1" applyAlignment="1">
      <alignment horizontal="right" vertical="center"/>
      <protection/>
    </xf>
    <xf numFmtId="0" fontId="139" fillId="0" borderId="43" xfId="0" applyFont="1" applyFill="1" applyBorder="1" applyAlignment="1">
      <alignment horizontal="center" vertical="center" wrapText="1"/>
    </xf>
    <xf numFmtId="0" fontId="139" fillId="0" borderId="45" xfId="0" applyFont="1" applyFill="1" applyBorder="1" applyAlignment="1">
      <alignment horizontal="center" vertical="center" wrapText="1"/>
    </xf>
    <xf numFmtId="0" fontId="136" fillId="0" borderId="44" xfId="0" applyFont="1" applyFill="1" applyBorder="1" applyAlignment="1">
      <alignment horizontal="center" vertical="center" wrapText="1"/>
    </xf>
    <xf numFmtId="0" fontId="136" fillId="0" borderId="43" xfId="0" applyFont="1" applyFill="1" applyBorder="1" applyAlignment="1">
      <alignment horizontal="center" vertical="center" wrapText="1"/>
    </xf>
    <xf numFmtId="0" fontId="136" fillId="0" borderId="45" xfId="0" applyFont="1" applyFill="1" applyBorder="1" applyAlignment="1">
      <alignment horizontal="center" vertical="center" wrapText="1"/>
    </xf>
    <xf numFmtId="0" fontId="3" fillId="0" borderId="0" xfId="0" applyFont="1" applyFill="1" applyAlignment="1">
      <alignment/>
    </xf>
    <xf numFmtId="0" fontId="134" fillId="0" borderId="43" xfId="0" applyFont="1" applyFill="1" applyBorder="1" applyAlignment="1">
      <alignment vertical="center"/>
    </xf>
    <xf numFmtId="0" fontId="134" fillId="0" borderId="45" xfId="0" applyFont="1" applyFill="1" applyBorder="1" applyAlignment="1">
      <alignment vertical="center"/>
    </xf>
    <xf numFmtId="0" fontId="136" fillId="0" borderId="43" xfId="0" applyFont="1" applyFill="1" applyBorder="1" applyAlignment="1">
      <alignment horizontal="left" vertical="center" wrapText="1"/>
    </xf>
    <xf numFmtId="167" fontId="136" fillId="0" borderId="43" xfId="0" applyNumberFormat="1" applyFont="1" applyFill="1" applyBorder="1" applyAlignment="1">
      <alignment vertical="center" wrapText="1"/>
    </xf>
    <xf numFmtId="3" fontId="136" fillId="0" borderId="43" xfId="0" applyNumberFormat="1" applyFont="1" applyFill="1" applyBorder="1" applyAlignment="1">
      <alignment vertical="center" wrapText="1"/>
    </xf>
    <xf numFmtId="167" fontId="136" fillId="0" borderId="45" xfId="0" applyNumberFormat="1" applyFont="1" applyFill="1" applyBorder="1" applyAlignment="1">
      <alignment vertical="center" wrapText="1"/>
    </xf>
    <xf numFmtId="0" fontId="134" fillId="0" borderId="43" xfId="0" applyFont="1" applyFill="1" applyBorder="1" applyAlignment="1">
      <alignment horizontal="left" vertical="center" wrapText="1"/>
    </xf>
    <xf numFmtId="0" fontId="6" fillId="0" borderId="43" xfId="0" applyFont="1" applyFill="1" applyBorder="1" applyAlignment="1">
      <alignment horizontal="right" vertical="center" wrapText="1"/>
    </xf>
    <xf numFmtId="3" fontId="134" fillId="0" borderId="43" xfId="0" applyNumberFormat="1" applyFont="1" applyFill="1" applyBorder="1" applyAlignment="1">
      <alignment vertical="center" wrapText="1"/>
    </xf>
    <xf numFmtId="0" fontId="136" fillId="0" borderId="43" xfId="0" applyFont="1" applyFill="1" applyBorder="1" applyAlignment="1">
      <alignment horizontal="right" vertical="center"/>
    </xf>
    <xf numFmtId="2" fontId="134" fillId="0" borderId="43" xfId="0" applyNumberFormat="1" applyFont="1" applyFill="1" applyBorder="1" applyAlignment="1">
      <alignment vertical="center" wrapText="1"/>
    </xf>
    <xf numFmtId="2" fontId="136" fillId="0" borderId="43" xfId="0" applyNumberFormat="1" applyFont="1" applyFill="1" applyBorder="1" applyAlignment="1">
      <alignment vertical="center" wrapText="1"/>
    </xf>
    <xf numFmtId="0" fontId="6" fillId="0" borderId="44" xfId="468" applyFont="1" applyFill="1" applyBorder="1" applyAlignment="1">
      <alignment horizontal="center" vertical="center"/>
      <protection/>
    </xf>
    <xf numFmtId="0" fontId="6" fillId="0" borderId="43" xfId="468" applyFont="1" applyFill="1" applyBorder="1" applyAlignment="1">
      <alignment vertical="center"/>
      <protection/>
    </xf>
    <xf numFmtId="2" fontId="134" fillId="0" borderId="43" xfId="0" applyNumberFormat="1" applyFont="1" applyFill="1" applyBorder="1" applyAlignment="1">
      <alignment horizontal="right" vertical="center" wrapText="1"/>
    </xf>
    <xf numFmtId="2" fontId="6" fillId="0" borderId="43" xfId="0" applyNumberFormat="1" applyFont="1" applyFill="1" applyBorder="1" applyAlignment="1">
      <alignment horizontal="right" vertical="center" wrapText="1"/>
    </xf>
    <xf numFmtId="1" fontId="6" fillId="0" borderId="43" xfId="0" applyNumberFormat="1" applyFont="1" applyFill="1" applyBorder="1" applyAlignment="1">
      <alignment horizontal="right" vertical="center" wrapText="1"/>
    </xf>
    <xf numFmtId="1" fontId="134" fillId="0" borderId="43" xfId="0" applyNumberFormat="1" applyFont="1" applyFill="1" applyBorder="1" applyAlignment="1">
      <alignment horizontal="right" vertical="center" wrapText="1"/>
    </xf>
    <xf numFmtId="1" fontId="134" fillId="0" borderId="43" xfId="0" applyNumberFormat="1" applyFont="1" applyFill="1" applyBorder="1" applyAlignment="1" quotePrefix="1">
      <alignment horizontal="right" vertical="center" wrapText="1"/>
    </xf>
    <xf numFmtId="1" fontId="134" fillId="0" borderId="43" xfId="0" applyNumberFormat="1" applyFont="1" applyFill="1" applyBorder="1" applyAlignment="1">
      <alignment horizontal="right" vertical="center"/>
    </xf>
    <xf numFmtId="0" fontId="136" fillId="0" borderId="43" xfId="0" applyFont="1" applyFill="1" applyBorder="1" applyAlignment="1">
      <alignment vertical="center" wrapText="1"/>
    </xf>
    <xf numFmtId="0" fontId="136" fillId="0" borderId="43" xfId="0" applyFont="1" applyFill="1" applyBorder="1" applyAlignment="1" quotePrefix="1">
      <alignment vertical="center" wrapText="1"/>
    </xf>
    <xf numFmtId="0" fontId="6" fillId="0" borderId="43" xfId="471" applyFont="1" applyFill="1" applyBorder="1" applyAlignment="1" quotePrefix="1">
      <alignment vertical="center" wrapText="1"/>
      <protection/>
    </xf>
    <xf numFmtId="0" fontId="6" fillId="0" borderId="43" xfId="471" applyFont="1" applyFill="1" applyBorder="1" applyAlignment="1">
      <alignment vertical="center" wrapText="1"/>
      <protection/>
    </xf>
    <xf numFmtId="0" fontId="6" fillId="0" borderId="43" xfId="471" applyFont="1" applyFill="1" applyBorder="1" applyAlignment="1">
      <alignment horizontal="center" vertical="center" wrapText="1"/>
      <protection/>
    </xf>
    <xf numFmtId="0" fontId="139" fillId="0" borderId="49" xfId="0" applyFont="1" applyFill="1" applyBorder="1" applyAlignment="1">
      <alignment vertical="center" wrapText="1"/>
    </xf>
    <xf numFmtId="0" fontId="6" fillId="0" borderId="43" xfId="472" applyFont="1" applyFill="1" applyBorder="1" applyAlignment="1" quotePrefix="1">
      <alignment horizontal="left" vertical="center" wrapText="1"/>
      <protection/>
    </xf>
    <xf numFmtId="0" fontId="6" fillId="0" borderId="43" xfId="472" applyFont="1" applyFill="1" applyBorder="1" applyAlignment="1">
      <alignment vertical="center" wrapText="1"/>
      <protection/>
    </xf>
    <xf numFmtId="0" fontId="5" fillId="0" borderId="44" xfId="475" applyFont="1" applyFill="1" applyBorder="1" applyAlignment="1">
      <alignment horizontal="center" vertical="center"/>
      <protection/>
    </xf>
    <xf numFmtId="0" fontId="5" fillId="0" borderId="43" xfId="472" applyFont="1" applyFill="1" applyBorder="1" applyAlignment="1">
      <alignment vertical="center" wrapText="1"/>
      <protection/>
    </xf>
    <xf numFmtId="0" fontId="164" fillId="0" borderId="0" xfId="0" applyFont="1" applyFill="1" applyAlignment="1">
      <alignment/>
    </xf>
    <xf numFmtId="167" fontId="164" fillId="0" borderId="0" xfId="0" applyNumberFormat="1" applyFont="1" applyFill="1" applyAlignment="1">
      <alignment/>
    </xf>
    <xf numFmtId="167" fontId="164" fillId="0" borderId="0" xfId="0" applyNumberFormat="1" applyFont="1" applyFill="1" applyBorder="1" applyAlignment="1">
      <alignment/>
    </xf>
    <xf numFmtId="0" fontId="164" fillId="0" borderId="0" xfId="0" applyFont="1" applyFill="1" applyBorder="1" applyAlignment="1">
      <alignment/>
    </xf>
    <xf numFmtId="0" fontId="7" fillId="0" borderId="0" xfId="0" applyFont="1" applyFill="1" applyAlignment="1">
      <alignment/>
    </xf>
    <xf numFmtId="0" fontId="165"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3" fontId="6"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xf>
    <xf numFmtId="0" fontId="13" fillId="0" borderId="0" xfId="0" applyFont="1" applyFill="1" applyAlignment="1">
      <alignment/>
    </xf>
    <xf numFmtId="0" fontId="141" fillId="0" borderId="0" xfId="0" applyFont="1" applyFill="1" applyAlignment="1">
      <alignment/>
    </xf>
    <xf numFmtId="3" fontId="13" fillId="0" borderId="0" xfId="0" applyNumberFormat="1" applyFont="1" applyFill="1" applyAlignment="1">
      <alignment/>
    </xf>
    <xf numFmtId="3" fontId="141" fillId="0" borderId="0" xfId="0" applyNumberFormat="1" applyFont="1" applyFill="1" applyAlignment="1">
      <alignment/>
    </xf>
    <xf numFmtId="167" fontId="13" fillId="0" borderId="0" xfId="0" applyNumberFormat="1" applyFont="1" applyFill="1" applyAlignment="1">
      <alignment/>
    </xf>
    <xf numFmtId="167" fontId="6" fillId="0" borderId="0" xfId="0" applyNumberFormat="1" applyFont="1" applyFill="1" applyAlignment="1">
      <alignment/>
    </xf>
    <xf numFmtId="236" fontId="5" fillId="0" borderId="0" xfId="0" applyNumberFormat="1" applyFont="1" applyFill="1" applyAlignment="1">
      <alignment/>
    </xf>
    <xf numFmtId="167" fontId="5" fillId="0" borderId="0" xfId="0" applyNumberFormat="1" applyFont="1" applyFill="1" applyAlignment="1">
      <alignment/>
    </xf>
    <xf numFmtId="2" fontId="6" fillId="0" borderId="43" xfId="0" applyNumberFormat="1" applyFont="1" applyFill="1" applyBorder="1" applyAlignment="1">
      <alignment horizontal="center" vertical="center"/>
    </xf>
    <xf numFmtId="2" fontId="13" fillId="0" borderId="43" xfId="0" applyNumberFormat="1" applyFont="1" applyFill="1" applyBorder="1" applyAlignment="1">
      <alignment horizontal="center" vertical="center"/>
    </xf>
    <xf numFmtId="2" fontId="13" fillId="0" borderId="43" xfId="0" applyNumberFormat="1" applyFont="1" applyFill="1" applyBorder="1" applyAlignment="1" quotePrefix="1">
      <alignment vertical="center"/>
    </xf>
    <xf numFmtId="2" fontId="6" fillId="0" borderId="43" xfId="0" applyNumberFormat="1" applyFont="1" applyFill="1" applyBorder="1" applyAlignment="1" quotePrefix="1">
      <alignment vertical="center"/>
    </xf>
    <xf numFmtId="2" fontId="6" fillId="0" borderId="43" xfId="476" applyNumberFormat="1" applyFont="1" applyFill="1" applyBorder="1" applyAlignment="1" quotePrefix="1">
      <alignment horizontal="right" vertical="center"/>
      <protection/>
    </xf>
    <xf numFmtId="2" fontId="13" fillId="0" borderId="43" xfId="476" applyNumberFormat="1" applyFont="1" applyFill="1" applyBorder="1" applyAlignment="1" quotePrefix="1">
      <alignment horizontal="right" vertical="center"/>
      <protection/>
    </xf>
    <xf numFmtId="2" fontId="6" fillId="0" borderId="43" xfId="0" applyNumberFormat="1" applyFont="1" applyFill="1" applyBorder="1" applyAlignment="1" quotePrefix="1">
      <alignment vertical="center" wrapText="1"/>
    </xf>
    <xf numFmtId="167" fontId="6" fillId="0" borderId="45" xfId="0" applyNumberFormat="1" applyFont="1" applyFill="1" applyBorder="1" applyAlignment="1">
      <alignment horizontal="right" vertical="center"/>
    </xf>
    <xf numFmtId="167" fontId="5" fillId="0" borderId="45" xfId="0" applyNumberFormat="1" applyFont="1" applyFill="1" applyBorder="1" applyAlignment="1">
      <alignment horizontal="right" vertical="center"/>
    </xf>
    <xf numFmtId="3" fontId="141" fillId="0" borderId="0" xfId="283" applyNumberFormat="1" applyFont="1" applyFill="1" applyBorder="1" applyAlignment="1" quotePrefix="1">
      <alignment horizontal="right" vertical="center"/>
    </xf>
    <xf numFmtId="3" fontId="13" fillId="0" borderId="0" xfId="283" applyNumberFormat="1" applyFont="1" applyFill="1" applyBorder="1" applyAlignment="1" quotePrefix="1">
      <alignment horizontal="right" vertical="center"/>
    </xf>
    <xf numFmtId="0" fontId="6" fillId="0" borderId="43" xfId="465" applyFont="1" applyFill="1" applyBorder="1" applyAlignment="1">
      <alignment horizontal="left" vertical="center"/>
      <protection/>
    </xf>
    <xf numFmtId="0" fontId="13" fillId="0" borderId="44" xfId="0" applyFont="1" applyFill="1" applyBorder="1" applyAlignment="1" quotePrefix="1">
      <alignment horizontal="center" vertical="center"/>
    </xf>
    <xf numFmtId="2" fontId="13" fillId="0" borderId="43" xfId="0" applyNumberFormat="1" applyFont="1" applyFill="1" applyBorder="1" applyAlignment="1">
      <alignment vertical="center" wrapText="1"/>
    </xf>
    <xf numFmtId="4" fontId="6" fillId="0" borderId="43" xfId="0" applyNumberFormat="1" applyFont="1" applyFill="1" applyBorder="1" applyAlignment="1" quotePrefix="1">
      <alignment horizontal="right" vertical="center"/>
    </xf>
    <xf numFmtId="167" fontId="6" fillId="0" borderId="47" xfId="0" applyNumberFormat="1" applyFont="1" applyFill="1" applyBorder="1" applyAlignment="1" quotePrefix="1">
      <alignment horizontal="right" vertical="center"/>
    </xf>
    <xf numFmtId="0" fontId="184" fillId="0" borderId="43" xfId="0" applyFont="1" applyBorder="1" applyAlignment="1">
      <alignment horizontal="center" vertical="center"/>
    </xf>
    <xf numFmtId="0" fontId="184" fillId="0" borderId="0" xfId="0" applyFont="1" applyAlignment="1">
      <alignment horizontal="center" vertical="center"/>
    </xf>
    <xf numFmtId="0" fontId="13" fillId="0" borderId="0" xfId="0" applyFont="1" applyAlignment="1">
      <alignment horizontal="center" vertical="center"/>
    </xf>
    <xf numFmtId="3" fontId="5" fillId="0" borderId="43" xfId="0" applyNumberFormat="1" applyFont="1" applyBorder="1" applyAlignment="1">
      <alignment horizontal="right" vertical="center"/>
    </xf>
    <xf numFmtId="0" fontId="5" fillId="0" borderId="0" xfId="0" applyFont="1" applyAlignment="1">
      <alignment horizontal="center" vertical="center"/>
    </xf>
    <xf numFmtId="3" fontId="184" fillId="0" borderId="45" xfId="0" applyNumberFormat="1" applyFont="1" applyBorder="1" applyAlignment="1">
      <alignment horizontal="right" vertical="center"/>
    </xf>
    <xf numFmtId="0" fontId="6" fillId="0" borderId="43" xfId="0" applyFont="1" applyFill="1" applyBorder="1" applyAlignment="1" quotePrefix="1">
      <alignment horizontal="left" vertical="center"/>
    </xf>
    <xf numFmtId="3" fontId="186" fillId="0" borderId="43" xfId="0" applyNumberFormat="1" applyFont="1" applyBorder="1" applyAlignment="1">
      <alignment horizontal="right" vertical="center"/>
    </xf>
    <xf numFmtId="3" fontId="5" fillId="0" borderId="45" xfId="0" applyNumberFormat="1" applyFont="1" applyFill="1" applyBorder="1" applyAlignment="1">
      <alignment horizontal="right" vertical="center"/>
    </xf>
    <xf numFmtId="3" fontId="184" fillId="0" borderId="43" xfId="0" applyNumberFormat="1" applyFont="1" applyBorder="1" applyAlignment="1">
      <alignment horizontal="right" vertical="center"/>
    </xf>
    <xf numFmtId="3" fontId="136" fillId="0" borderId="43" xfId="0" applyNumberFormat="1" applyFont="1" applyBorder="1" applyAlignment="1">
      <alignment horizontal="right" vertical="center"/>
    </xf>
    <xf numFmtId="3" fontId="136" fillId="0" borderId="45" xfId="0" applyNumberFormat="1" applyFont="1" applyBorder="1" applyAlignment="1">
      <alignment horizontal="right" vertical="center"/>
    </xf>
    <xf numFmtId="0" fontId="5" fillId="0" borderId="43" xfId="0" applyFont="1" applyBorder="1" applyAlignment="1">
      <alignment horizontal="right" vertical="center"/>
    </xf>
    <xf numFmtId="0" fontId="5" fillId="0" borderId="45" xfId="0" applyFont="1" applyBorder="1" applyAlignment="1">
      <alignment horizontal="right" vertical="center"/>
    </xf>
    <xf numFmtId="0" fontId="184" fillId="0" borderId="43" xfId="0" applyFont="1" applyBorder="1" applyAlignment="1">
      <alignment horizontal="right" vertical="center"/>
    </xf>
    <xf numFmtId="0" fontId="184" fillId="0" borderId="45" xfId="0" applyFont="1" applyBorder="1" applyAlignment="1">
      <alignment horizontal="right" vertical="center"/>
    </xf>
    <xf numFmtId="0" fontId="13" fillId="0" borderId="43" xfId="0" applyFont="1" applyBorder="1" applyAlignment="1">
      <alignment horizontal="right" vertical="center"/>
    </xf>
    <xf numFmtId="0" fontId="13" fillId="0" borderId="45" xfId="0" applyFont="1" applyBorder="1" applyAlignment="1">
      <alignment horizontal="right" vertical="center"/>
    </xf>
    <xf numFmtId="3" fontId="13" fillId="0" borderId="43" xfId="0" applyNumberFormat="1" applyFont="1" applyBorder="1" applyAlignment="1">
      <alignment horizontal="right" vertical="center"/>
    </xf>
    <xf numFmtId="3" fontId="13" fillId="0" borderId="45" xfId="0" applyNumberFormat="1" applyFont="1" applyBorder="1" applyAlignment="1">
      <alignment horizontal="right" vertical="center"/>
    </xf>
    <xf numFmtId="3" fontId="184" fillId="0" borderId="43" xfId="0" applyNumberFormat="1" applyFont="1" applyBorder="1" applyAlignment="1">
      <alignment vertical="center"/>
    </xf>
    <xf numFmtId="3" fontId="186" fillId="0" borderId="43" xfId="0" applyNumberFormat="1" applyFont="1" applyBorder="1" applyAlignment="1">
      <alignment vertical="center"/>
    </xf>
    <xf numFmtId="0" fontId="5" fillId="0" borderId="43" xfId="0" applyFont="1" applyBorder="1" applyAlignment="1">
      <alignment vertical="center"/>
    </xf>
    <xf numFmtId="0" fontId="184" fillId="0" borderId="43" xfId="0" applyFont="1" applyBorder="1" applyAlignment="1" quotePrefix="1">
      <alignment vertical="center"/>
    </xf>
    <xf numFmtId="0" fontId="184" fillId="0" borderId="43" xfId="0" applyFont="1" applyFill="1" applyBorder="1" applyAlignment="1">
      <alignment vertical="center"/>
    </xf>
    <xf numFmtId="0" fontId="186" fillId="0" borderId="0" xfId="0" applyFont="1" applyAlignment="1">
      <alignment horizontal="center" vertical="center"/>
    </xf>
    <xf numFmtId="0" fontId="136" fillId="0" borderId="0" xfId="0" applyFont="1" applyAlignment="1">
      <alignment horizontal="center" vertical="center"/>
    </xf>
    <xf numFmtId="0" fontId="5" fillId="0" borderId="0" xfId="0" applyFont="1" applyFill="1" applyAlignment="1">
      <alignment horizontal="center" vertical="center"/>
    </xf>
    <xf numFmtId="0" fontId="184" fillId="0" borderId="0" xfId="0" applyFont="1" applyFill="1" applyAlignment="1">
      <alignment horizontal="center" vertical="center"/>
    </xf>
    <xf numFmtId="0" fontId="13" fillId="0" borderId="0" xfId="0" applyFont="1" applyFill="1" applyAlignment="1">
      <alignment horizontal="center" vertical="center"/>
    </xf>
    <xf numFmtId="3" fontId="5" fillId="0" borderId="45" xfId="0" applyNumberFormat="1" applyFont="1" applyBorder="1" applyAlignment="1">
      <alignment horizontal="right" vertical="center"/>
    </xf>
    <xf numFmtId="0" fontId="5" fillId="0" borderId="44" xfId="474" applyFont="1" applyFill="1" applyBorder="1" applyAlignment="1">
      <alignment horizontal="center" vertical="center"/>
      <protection/>
    </xf>
    <xf numFmtId="41" fontId="5" fillId="0" borderId="43" xfId="274" applyFont="1" applyFill="1" applyBorder="1" applyAlignment="1">
      <alignment horizontal="justify" vertical="center" wrapText="1"/>
    </xf>
    <xf numFmtId="41" fontId="6" fillId="0" borderId="43" xfId="274" applyFont="1" applyFill="1" applyBorder="1" applyAlignment="1">
      <alignment vertical="center"/>
    </xf>
    <xf numFmtId="0" fontId="184" fillId="0" borderId="45" xfId="0" applyFont="1" applyBorder="1" applyAlignment="1">
      <alignment horizontal="center" vertical="center"/>
    </xf>
    <xf numFmtId="0" fontId="6" fillId="0" borderId="44" xfId="474" applyFont="1" applyFill="1" applyBorder="1" applyAlignment="1">
      <alignment horizontal="center" vertical="center"/>
      <protection/>
    </xf>
    <xf numFmtId="237" fontId="6" fillId="0" borderId="43" xfId="274" applyNumberFormat="1" applyFont="1" applyFill="1" applyBorder="1" applyAlignment="1">
      <alignment vertical="center"/>
    </xf>
    <xf numFmtId="237" fontId="13" fillId="0" borderId="43" xfId="274" applyNumberFormat="1" applyFont="1" applyFill="1" applyBorder="1" applyAlignment="1">
      <alignment horizontal="center" vertical="center"/>
    </xf>
    <xf numFmtId="0" fontId="13" fillId="0" borderId="44" xfId="474" applyFont="1" applyFill="1" applyBorder="1" applyAlignment="1">
      <alignment horizontal="center" vertical="center"/>
      <protection/>
    </xf>
    <xf numFmtId="237" fontId="13" fillId="0" borderId="43" xfId="274" applyNumberFormat="1" applyFont="1" applyFill="1" applyBorder="1" applyAlignment="1">
      <alignment vertical="center"/>
    </xf>
    <xf numFmtId="0" fontId="6" fillId="0" borderId="46" xfId="474" applyFont="1" applyFill="1" applyBorder="1" applyAlignment="1">
      <alignment horizontal="center" vertical="center"/>
      <protection/>
    </xf>
    <xf numFmtId="237" fontId="6" fillId="0" borderId="47" xfId="274" applyNumberFormat="1" applyFont="1" applyFill="1" applyBorder="1" applyAlignment="1">
      <alignment vertical="center"/>
    </xf>
    <xf numFmtId="237" fontId="13" fillId="0" borderId="47" xfId="274" applyNumberFormat="1" applyFont="1" applyFill="1" applyBorder="1" applyAlignment="1">
      <alignment horizontal="center" vertical="center"/>
    </xf>
    <xf numFmtId="0" fontId="184" fillId="0" borderId="47" xfId="0" applyFont="1" applyBorder="1" applyAlignment="1">
      <alignment horizontal="right" vertical="center"/>
    </xf>
    <xf numFmtId="0" fontId="184" fillId="0" borderId="45" xfId="0" applyFont="1" applyFill="1" applyBorder="1" applyAlignment="1">
      <alignment horizontal="right" vertical="center"/>
    </xf>
    <xf numFmtId="0" fontId="184" fillId="0" borderId="48" xfId="0" applyFont="1" applyFill="1" applyBorder="1" applyAlignment="1">
      <alignment horizontal="right" vertical="center"/>
    </xf>
    <xf numFmtId="0" fontId="186" fillId="0" borderId="43" xfId="0" applyFont="1" applyBorder="1" applyAlignment="1">
      <alignment horizontal="center" vertical="center" wrapText="1"/>
    </xf>
    <xf numFmtId="235" fontId="134" fillId="0" borderId="43" xfId="0" applyNumberFormat="1" applyFont="1" applyFill="1" applyBorder="1" applyAlignment="1">
      <alignment vertical="center" wrapText="1"/>
    </xf>
    <xf numFmtId="235" fontId="136" fillId="0" borderId="43" xfId="0" applyNumberFormat="1" applyFont="1" applyFill="1" applyBorder="1" applyAlignment="1">
      <alignment vertical="center" wrapText="1"/>
    </xf>
    <xf numFmtId="0" fontId="6" fillId="0" borderId="46" xfId="475" applyFont="1" applyFill="1" applyBorder="1" applyAlignment="1">
      <alignment horizontal="center" vertical="center"/>
      <protection/>
    </xf>
    <xf numFmtId="0" fontId="6" fillId="0" borderId="47" xfId="472" applyFont="1" applyFill="1" applyBorder="1" applyAlignment="1">
      <alignment vertical="center" wrapText="1"/>
      <protection/>
    </xf>
    <xf numFmtId="0" fontId="6" fillId="0" borderId="47" xfId="475" applyFont="1" applyFill="1" applyBorder="1" applyAlignment="1">
      <alignment horizontal="center" vertical="center"/>
      <protection/>
    </xf>
    <xf numFmtId="3" fontId="134" fillId="0" borderId="47" xfId="0" applyNumberFormat="1" applyFont="1" applyFill="1" applyBorder="1" applyAlignment="1">
      <alignment horizontal="right" vertical="center" wrapText="1"/>
    </xf>
    <xf numFmtId="0" fontId="134" fillId="0" borderId="47" xfId="0" applyFont="1" applyFill="1" applyBorder="1" applyAlignment="1" quotePrefix="1">
      <alignment horizontal="right" vertical="center" wrapText="1"/>
    </xf>
    <xf numFmtId="1" fontId="134" fillId="0" borderId="47" xfId="0" applyNumberFormat="1" applyFont="1" applyFill="1" applyBorder="1" applyAlignment="1">
      <alignment horizontal="right" vertical="center" wrapText="1"/>
    </xf>
    <xf numFmtId="167" fontId="134" fillId="0" borderId="47" xfId="0" applyNumberFormat="1" applyFont="1" applyFill="1" applyBorder="1" applyAlignment="1">
      <alignment vertical="center" wrapText="1"/>
    </xf>
    <xf numFmtId="167" fontId="134" fillId="0" borderId="48" xfId="0" applyNumberFormat="1" applyFont="1" applyFill="1" applyBorder="1" applyAlignment="1">
      <alignment vertical="center" wrapText="1"/>
    </xf>
    <xf numFmtId="0" fontId="139" fillId="0" borderId="52" xfId="0" applyFont="1" applyBorder="1" applyAlignment="1">
      <alignment horizontal="center" vertical="center" wrapText="1"/>
    </xf>
    <xf numFmtId="0" fontId="13" fillId="0" borderId="52" xfId="0" applyFont="1" applyFill="1" applyBorder="1" applyAlignment="1">
      <alignment horizontal="center" vertical="center" wrapText="1"/>
    </xf>
    <xf numFmtId="0" fontId="134" fillId="0" borderId="52" xfId="0" applyFont="1" applyBorder="1" applyAlignment="1">
      <alignment/>
    </xf>
    <xf numFmtId="167" fontId="139" fillId="0" borderId="52" xfId="0" applyNumberFormat="1" applyFont="1" applyBorder="1" applyAlignment="1">
      <alignment vertical="center" wrapText="1"/>
    </xf>
    <xf numFmtId="167" fontId="134" fillId="0" borderId="52" xfId="0" applyNumberFormat="1" applyFont="1" applyBorder="1" applyAlignment="1">
      <alignment vertical="center" wrapText="1"/>
    </xf>
    <xf numFmtId="167" fontId="136" fillId="0" borderId="52" xfId="0" applyNumberFormat="1" applyFont="1" applyBorder="1" applyAlignment="1">
      <alignment vertical="center" wrapText="1"/>
    </xf>
    <xf numFmtId="167" fontId="136" fillId="0" borderId="52" xfId="0" applyNumberFormat="1" applyFont="1" applyBorder="1" applyAlignment="1">
      <alignment vertical="center"/>
    </xf>
    <xf numFmtId="167" fontId="139" fillId="0" borderId="52" xfId="0" applyNumberFormat="1" applyFont="1" applyBorder="1" applyAlignment="1">
      <alignment vertical="center"/>
    </xf>
    <xf numFmtId="167" fontId="134" fillId="0" borderId="52" xfId="0" applyNumberFormat="1" applyFont="1" applyBorder="1" applyAlignment="1">
      <alignment vertical="center"/>
    </xf>
    <xf numFmtId="167" fontId="134" fillId="0" borderId="52" xfId="0" applyNumberFormat="1" applyFont="1" applyFill="1" applyBorder="1" applyAlignment="1">
      <alignment vertical="center"/>
    </xf>
    <xf numFmtId="167" fontId="139" fillId="0" borderId="52" xfId="0" applyNumberFormat="1" applyFont="1" applyFill="1" applyBorder="1" applyAlignment="1">
      <alignment vertical="center" wrapText="1"/>
    </xf>
    <xf numFmtId="167" fontId="134" fillId="0" borderId="52" xfId="0" applyNumberFormat="1" applyFont="1" applyFill="1" applyBorder="1" applyAlignment="1">
      <alignment vertical="center" wrapText="1"/>
    </xf>
    <xf numFmtId="167" fontId="136" fillId="0" borderId="52" xfId="0" applyNumberFormat="1" applyFont="1" applyFill="1" applyBorder="1" applyAlignment="1">
      <alignment vertical="center" wrapText="1"/>
    </xf>
    <xf numFmtId="167" fontId="134" fillId="0" borderId="53" xfId="0" applyNumberFormat="1" applyFont="1" applyBorder="1" applyAlignment="1">
      <alignment vertical="center" wrapText="1"/>
    </xf>
    <xf numFmtId="0" fontId="5" fillId="42" borderId="45" xfId="0" applyFont="1" applyFill="1" applyBorder="1" applyAlignment="1">
      <alignment horizontal="center" vertical="center" wrapText="1"/>
    </xf>
    <xf numFmtId="3" fontId="13" fillId="0" borderId="45" xfId="0" applyNumberFormat="1" applyFont="1" applyFill="1" applyBorder="1" applyAlignment="1">
      <alignment horizontal="right" vertical="center"/>
    </xf>
    <xf numFmtId="167" fontId="13" fillId="0" borderId="45" xfId="0" applyNumberFormat="1" applyFont="1" applyFill="1" applyBorder="1" applyAlignment="1">
      <alignment horizontal="right" vertical="center"/>
    </xf>
    <xf numFmtId="1" fontId="5" fillId="0" borderId="45" xfId="0" applyNumberFormat="1" applyFont="1" applyFill="1" applyBorder="1" applyAlignment="1">
      <alignment horizontal="right" vertical="center"/>
    </xf>
    <xf numFmtId="1" fontId="6" fillId="0" borderId="45" xfId="0" applyNumberFormat="1" applyFont="1" applyFill="1" applyBorder="1" applyAlignment="1">
      <alignment horizontal="right" vertical="center"/>
    </xf>
    <xf numFmtId="4" fontId="6" fillId="0" borderId="45" xfId="0" applyNumberFormat="1" applyFont="1" applyFill="1" applyBorder="1" applyAlignment="1">
      <alignment horizontal="right" vertical="center"/>
    </xf>
    <xf numFmtId="3" fontId="6" fillId="0" borderId="48" xfId="0" applyNumberFormat="1" applyFont="1" applyFill="1" applyBorder="1" applyAlignment="1">
      <alignment horizontal="right" vertical="center"/>
    </xf>
    <xf numFmtId="238" fontId="6" fillId="0" borderId="43" xfId="0" applyNumberFormat="1" applyFont="1" applyFill="1" applyBorder="1" applyAlignment="1">
      <alignment horizontal="right" vertical="center" wrapText="1"/>
    </xf>
    <xf numFmtId="2" fontId="9" fillId="0" borderId="43" xfId="476" applyNumberFormat="1" applyFont="1" applyFill="1" applyBorder="1" applyAlignment="1">
      <alignment horizontal="center" vertical="center" wrapText="1"/>
      <protection/>
    </xf>
    <xf numFmtId="2" fontId="9" fillId="0" borderId="43" xfId="283" applyNumberFormat="1" applyFont="1" applyFill="1" applyBorder="1" applyAlignment="1">
      <alignment horizontal="center" vertical="center" wrapText="1"/>
    </xf>
    <xf numFmtId="2" fontId="9" fillId="0" borderId="44" xfId="0" applyNumberFormat="1" applyFont="1" applyFill="1" applyBorder="1" applyAlignment="1">
      <alignment horizontal="center" vertical="center"/>
    </xf>
    <xf numFmtId="2" fontId="9" fillId="0" borderId="43" xfId="0" applyNumberFormat="1" applyFont="1" applyFill="1" applyBorder="1" applyAlignment="1">
      <alignment vertical="center"/>
    </xf>
    <xf numFmtId="2" fontId="9" fillId="0" borderId="43" xfId="476" applyNumberFormat="1" applyFont="1" applyFill="1" applyBorder="1" applyAlignment="1">
      <alignment vertical="center"/>
      <protection/>
    </xf>
    <xf numFmtId="2" fontId="9" fillId="0" borderId="45" xfId="476" applyNumberFormat="1" applyFont="1" applyFill="1" applyBorder="1" applyAlignment="1">
      <alignment horizontal="right" vertical="center"/>
      <protection/>
    </xf>
    <xf numFmtId="2" fontId="9" fillId="0" borderId="43" xfId="0" applyNumberFormat="1" applyFont="1" applyFill="1" applyBorder="1" applyAlignment="1">
      <alignment horizontal="center" vertical="center"/>
    </xf>
    <xf numFmtId="3" fontId="9" fillId="0" borderId="43" xfId="283" applyNumberFormat="1" applyFont="1" applyFill="1" applyBorder="1" applyAlignment="1" quotePrefix="1">
      <alignment horizontal="right" vertical="center"/>
    </xf>
    <xf numFmtId="167" fontId="9" fillId="0" borderId="43" xfId="283" applyNumberFormat="1" applyFont="1" applyFill="1" applyBorder="1" applyAlignment="1" quotePrefix="1">
      <alignment horizontal="right" vertical="center"/>
    </xf>
    <xf numFmtId="167" fontId="9" fillId="0" borderId="45" xfId="283" applyNumberFormat="1" applyFont="1" applyFill="1" applyBorder="1" applyAlignment="1" quotePrefix="1">
      <alignment horizontal="right" vertical="center"/>
    </xf>
    <xf numFmtId="3" fontId="9" fillId="0" borderId="43" xfId="283" applyNumberFormat="1" applyFont="1" applyFill="1" applyBorder="1" applyAlignment="1">
      <alignment horizontal="right" vertical="center"/>
    </xf>
    <xf numFmtId="3" fontId="9" fillId="0" borderId="45" xfId="283" applyNumberFormat="1" applyFont="1" applyFill="1" applyBorder="1" applyAlignment="1">
      <alignment horizontal="right" vertical="center"/>
    </xf>
    <xf numFmtId="2" fontId="11" fillId="0" borderId="44" xfId="0" applyNumberFormat="1" applyFont="1" applyFill="1" applyBorder="1" applyAlignment="1">
      <alignment horizontal="center" vertical="center"/>
    </xf>
    <xf numFmtId="2" fontId="11" fillId="0" borderId="43" xfId="0" applyNumberFormat="1" applyFont="1" applyFill="1" applyBorder="1" applyAlignment="1">
      <alignment vertical="center"/>
    </xf>
    <xf numFmtId="2" fontId="11" fillId="0" borderId="43" xfId="0" applyNumberFormat="1" applyFont="1" applyFill="1" applyBorder="1" applyAlignment="1">
      <alignment horizontal="center" vertical="center"/>
    </xf>
    <xf numFmtId="3" fontId="127" fillId="0" borderId="43" xfId="476" applyNumberFormat="1" applyFont="1" applyFill="1" applyBorder="1" applyAlignment="1">
      <alignment horizontal="right" vertical="center"/>
      <protection/>
    </xf>
    <xf numFmtId="3" fontId="127" fillId="0" borderId="45" xfId="476" applyNumberFormat="1" applyFont="1" applyFill="1" applyBorder="1" applyAlignment="1">
      <alignment horizontal="right" vertical="center"/>
      <protection/>
    </xf>
    <xf numFmtId="1" fontId="9" fillId="0" borderId="44" xfId="0" applyNumberFormat="1" applyFont="1" applyFill="1" applyBorder="1" applyAlignment="1">
      <alignment horizontal="center" vertical="center"/>
    </xf>
    <xf numFmtId="167" fontId="9" fillId="0" borderId="43" xfId="283" applyNumberFormat="1" applyFont="1" applyFill="1" applyBorder="1" applyAlignment="1">
      <alignment horizontal="right" vertical="center"/>
    </xf>
    <xf numFmtId="167" fontId="9" fillId="0" borderId="45" xfId="283" applyNumberFormat="1" applyFont="1" applyFill="1" applyBorder="1" applyAlignment="1">
      <alignment horizontal="right" vertical="center"/>
    </xf>
    <xf numFmtId="3" fontId="135" fillId="0" borderId="43" xfId="0" applyNumberFormat="1" applyFont="1" applyFill="1" applyBorder="1" applyAlignment="1">
      <alignment horizontal="right" vertical="center"/>
    </xf>
    <xf numFmtId="167" fontId="135" fillId="0" borderId="43" xfId="0" applyNumberFormat="1" applyFont="1" applyFill="1" applyBorder="1" applyAlignment="1">
      <alignment horizontal="right" vertical="center"/>
    </xf>
    <xf numFmtId="167" fontId="135" fillId="0" borderId="45" xfId="0" applyNumberFormat="1" applyFont="1" applyFill="1" applyBorder="1" applyAlignment="1">
      <alignment horizontal="right" vertical="center"/>
    </xf>
    <xf numFmtId="235" fontId="11" fillId="0" borderId="43" xfId="476" applyNumberFormat="1" applyFont="1" applyFill="1" applyBorder="1" applyAlignment="1">
      <alignment horizontal="right" vertical="center"/>
      <protection/>
    </xf>
    <xf numFmtId="235" fontId="11" fillId="0" borderId="45" xfId="476" applyNumberFormat="1" applyFont="1" applyFill="1" applyBorder="1" applyAlignment="1">
      <alignment horizontal="right" vertical="center"/>
      <protection/>
    </xf>
    <xf numFmtId="3" fontId="11" fillId="0" borderId="43" xfId="0" applyNumberFormat="1" applyFont="1" applyFill="1" applyBorder="1" applyAlignment="1">
      <alignment horizontal="right" vertical="center"/>
    </xf>
    <xf numFmtId="167" fontId="11" fillId="0" borderId="43" xfId="0" applyNumberFormat="1" applyFont="1" applyFill="1" applyBorder="1" applyAlignment="1">
      <alignment horizontal="right" vertical="center"/>
    </xf>
    <xf numFmtId="167" fontId="11" fillId="0" borderId="45" xfId="0" applyNumberFormat="1" applyFont="1" applyFill="1" applyBorder="1" applyAlignment="1">
      <alignment horizontal="right" vertical="center"/>
    </xf>
    <xf numFmtId="2" fontId="11" fillId="0" borderId="44" xfId="0" applyNumberFormat="1" applyFont="1" applyFill="1" applyBorder="1" applyAlignment="1" quotePrefix="1">
      <alignment horizontal="center" vertical="center"/>
    </xf>
    <xf numFmtId="2" fontId="11" fillId="0" borderId="43" xfId="476" applyNumberFormat="1" applyFont="1" applyFill="1" applyBorder="1" applyAlignment="1">
      <alignment vertical="center"/>
      <protection/>
    </xf>
    <xf numFmtId="2" fontId="127" fillId="0" borderId="43" xfId="0" applyNumberFormat="1" applyFont="1" applyFill="1" applyBorder="1" applyAlignment="1">
      <alignment horizontal="center" vertical="center"/>
    </xf>
    <xf numFmtId="3" fontId="11" fillId="0" borderId="43" xfId="476" applyNumberFormat="1" applyFont="1" applyFill="1" applyBorder="1" applyAlignment="1">
      <alignment horizontal="right" vertical="center"/>
      <protection/>
    </xf>
    <xf numFmtId="235" fontId="11" fillId="0" borderId="43" xfId="0" applyNumberFormat="1" applyFont="1" applyFill="1" applyBorder="1" applyAlignment="1">
      <alignment vertical="center" wrapText="1"/>
    </xf>
    <xf numFmtId="235" fontId="11" fillId="0" borderId="43" xfId="0" applyNumberFormat="1" applyFont="1" applyFill="1" applyBorder="1" applyAlignment="1">
      <alignment horizontal="right" vertical="center"/>
    </xf>
    <xf numFmtId="235" fontId="11" fillId="0" borderId="45" xfId="0" applyNumberFormat="1" applyFont="1" applyFill="1" applyBorder="1" applyAlignment="1">
      <alignment horizontal="right" vertical="center"/>
    </xf>
    <xf numFmtId="3" fontId="11" fillId="0" borderId="45" xfId="476" applyNumberFormat="1" applyFont="1" applyFill="1" applyBorder="1" applyAlignment="1">
      <alignment horizontal="right" vertical="center"/>
      <protection/>
    </xf>
    <xf numFmtId="167" fontId="11" fillId="0" borderId="43" xfId="476" applyNumberFormat="1" applyFont="1" applyFill="1" applyBorder="1" applyAlignment="1">
      <alignment horizontal="right" vertical="center"/>
      <protection/>
    </xf>
    <xf numFmtId="167" fontId="11" fillId="0" borderId="45" xfId="476" applyNumberFormat="1" applyFont="1" applyFill="1" applyBorder="1" applyAlignment="1">
      <alignment horizontal="right" vertical="center"/>
      <protection/>
    </xf>
    <xf numFmtId="2" fontId="127" fillId="0" borderId="43" xfId="0" applyNumberFormat="1" applyFont="1" applyFill="1" applyBorder="1" applyAlignment="1" quotePrefix="1">
      <alignment vertical="center"/>
    </xf>
    <xf numFmtId="3" fontId="11" fillId="0" borderId="43" xfId="0" applyNumberFormat="1" applyFont="1" applyFill="1" applyBorder="1" applyAlignment="1">
      <alignment horizontal="right" vertical="center" wrapText="1"/>
    </xf>
    <xf numFmtId="3" fontId="11" fillId="0" borderId="45" xfId="0" applyNumberFormat="1" applyFont="1" applyFill="1" applyBorder="1" applyAlignment="1">
      <alignment horizontal="right" vertical="center"/>
    </xf>
    <xf numFmtId="2" fontId="127" fillId="0" borderId="43" xfId="0" applyNumberFormat="1" applyFont="1" applyFill="1" applyBorder="1" applyAlignment="1">
      <alignment vertical="center"/>
    </xf>
    <xf numFmtId="2" fontId="127" fillId="0" borderId="44" xfId="0" applyNumberFormat="1" applyFont="1" applyFill="1" applyBorder="1" applyAlignment="1">
      <alignment horizontal="center" vertical="center"/>
    </xf>
    <xf numFmtId="1" fontId="11" fillId="0" borderId="43" xfId="476" applyNumberFormat="1" applyFont="1" applyFill="1" applyBorder="1" applyAlignment="1">
      <alignment horizontal="right" vertical="center"/>
      <protection/>
    </xf>
    <xf numFmtId="1" fontId="11" fillId="0" borderId="43" xfId="0" applyNumberFormat="1" applyFont="1" applyFill="1" applyBorder="1" applyAlignment="1">
      <alignment horizontal="right" vertical="center" wrapText="1"/>
    </xf>
    <xf numFmtId="1" fontId="11" fillId="0" borderId="45" xfId="476" applyNumberFormat="1" applyFont="1" applyFill="1" applyBorder="1" applyAlignment="1">
      <alignment horizontal="right" vertical="center"/>
      <protection/>
    </xf>
    <xf numFmtId="2" fontId="11" fillId="0" borderId="43" xfId="0" applyNumberFormat="1" applyFont="1" applyFill="1" applyBorder="1" applyAlignment="1">
      <alignment horizontal="right" vertical="center"/>
    </xf>
    <xf numFmtId="2" fontId="11" fillId="0" borderId="45" xfId="0" applyNumberFormat="1" applyFont="1" applyFill="1" applyBorder="1" applyAlignment="1">
      <alignment horizontal="right" vertical="center"/>
    </xf>
    <xf numFmtId="1" fontId="9" fillId="0" borderId="43" xfId="476" applyNumberFormat="1" applyFont="1" applyFill="1" applyBorder="1" applyAlignment="1">
      <alignment horizontal="right" vertical="center"/>
      <protection/>
    </xf>
    <xf numFmtId="235" fontId="9" fillId="0" borderId="43" xfId="476" applyNumberFormat="1" applyFont="1" applyFill="1" applyBorder="1" applyAlignment="1">
      <alignment horizontal="right" vertical="center"/>
      <protection/>
    </xf>
    <xf numFmtId="235" fontId="9" fillId="0" borderId="45" xfId="476" applyNumberFormat="1" applyFont="1" applyFill="1" applyBorder="1" applyAlignment="1">
      <alignment horizontal="right" vertical="center"/>
      <protection/>
    </xf>
    <xf numFmtId="1" fontId="11" fillId="0" borderId="43" xfId="0" applyNumberFormat="1" applyFont="1" applyFill="1" applyBorder="1" applyAlignment="1">
      <alignment horizontal="right" vertical="center"/>
    </xf>
    <xf numFmtId="2" fontId="135" fillId="0" borderId="44" xfId="0" applyNumberFormat="1" applyFont="1" applyFill="1" applyBorder="1" applyAlignment="1">
      <alignment horizontal="center" vertical="center"/>
    </xf>
    <xf numFmtId="2" fontId="135" fillId="0" borderId="43" xfId="0" applyNumberFormat="1" applyFont="1" applyFill="1" applyBorder="1" applyAlignment="1">
      <alignment vertical="center"/>
    </xf>
    <xf numFmtId="2" fontId="135" fillId="0" borderId="43" xfId="0" applyNumberFormat="1" applyFont="1" applyFill="1" applyBorder="1" applyAlignment="1">
      <alignment horizontal="center" vertical="center"/>
    </xf>
    <xf numFmtId="1" fontId="135" fillId="0" borderId="43" xfId="476" applyNumberFormat="1" applyFont="1" applyFill="1" applyBorder="1" applyAlignment="1">
      <alignment horizontal="right" vertical="center"/>
      <protection/>
    </xf>
    <xf numFmtId="235" fontId="135" fillId="0" borderId="43" xfId="476" applyNumberFormat="1" applyFont="1" applyFill="1" applyBorder="1" applyAlignment="1">
      <alignment horizontal="right" vertical="center"/>
      <protection/>
    </xf>
    <xf numFmtId="2" fontId="135" fillId="0" borderId="43" xfId="476" applyNumberFormat="1" applyFont="1" applyFill="1" applyBorder="1" applyAlignment="1">
      <alignment horizontal="right" vertical="center"/>
      <protection/>
    </xf>
    <xf numFmtId="2" fontId="135" fillId="0" borderId="45" xfId="476" applyNumberFormat="1" applyFont="1" applyFill="1" applyBorder="1" applyAlignment="1">
      <alignment horizontal="right" vertical="center"/>
      <protection/>
    </xf>
    <xf numFmtId="1" fontId="135" fillId="0" borderId="43" xfId="0" applyNumberFormat="1" applyFont="1" applyFill="1" applyBorder="1" applyAlignment="1">
      <alignment horizontal="right" vertical="center"/>
    </xf>
    <xf numFmtId="235" fontId="135" fillId="0" borderId="43" xfId="0" applyNumberFormat="1" applyFont="1" applyFill="1" applyBorder="1" applyAlignment="1">
      <alignment horizontal="right" vertical="center"/>
    </xf>
    <xf numFmtId="235" fontId="135" fillId="0" borderId="45" xfId="0" applyNumberFormat="1" applyFont="1" applyFill="1" applyBorder="1" applyAlignment="1">
      <alignment horizontal="right" vertical="center"/>
    </xf>
    <xf numFmtId="2" fontId="9" fillId="0" borderId="43" xfId="0" applyNumberFormat="1" applyFont="1" applyFill="1" applyBorder="1" applyAlignment="1" quotePrefix="1">
      <alignment vertical="center"/>
    </xf>
    <xf numFmtId="3" fontId="9" fillId="0" borderId="43" xfId="476" applyNumberFormat="1" applyFont="1" applyFill="1" applyBorder="1" applyAlignment="1">
      <alignment horizontal="right" vertical="center"/>
      <protection/>
    </xf>
    <xf numFmtId="3" fontId="9" fillId="0" borderId="43" xfId="0" applyNumberFormat="1" applyFont="1" applyFill="1" applyBorder="1" applyAlignment="1">
      <alignment horizontal="right" vertical="center"/>
    </xf>
    <xf numFmtId="167" fontId="9" fillId="0" borderId="43" xfId="0" applyNumberFormat="1" applyFont="1" applyFill="1" applyBorder="1" applyAlignment="1">
      <alignment horizontal="right" vertical="center"/>
    </xf>
    <xf numFmtId="167" fontId="9" fillId="0" borderId="45" xfId="0" applyNumberFormat="1" applyFont="1" applyFill="1" applyBorder="1" applyAlignment="1">
      <alignment horizontal="right" vertical="center"/>
    </xf>
    <xf numFmtId="1" fontId="11" fillId="0" borderId="43" xfId="476" applyNumberFormat="1" applyFont="1" applyFill="1" applyBorder="1" applyAlignment="1" quotePrefix="1">
      <alignment horizontal="right" vertical="center"/>
      <protection/>
    </xf>
    <xf numFmtId="1" fontId="9" fillId="0" borderId="44" xfId="0" applyNumberFormat="1" applyFont="1" applyFill="1" applyBorder="1" applyAlignment="1" quotePrefix="1">
      <alignment horizontal="center" vertical="center"/>
    </xf>
    <xf numFmtId="2" fontId="9" fillId="0" borderId="44" xfId="0" applyNumberFormat="1" applyFont="1" applyFill="1" applyBorder="1" applyAlignment="1" quotePrefix="1">
      <alignment horizontal="center" vertical="center"/>
    </xf>
    <xf numFmtId="3" fontId="9" fillId="0" borderId="43" xfId="476" applyNumberFormat="1" applyFont="1" applyFill="1" applyBorder="1" applyAlignment="1" quotePrefix="1">
      <alignment horizontal="right" vertical="center"/>
      <protection/>
    </xf>
    <xf numFmtId="3" fontId="9" fillId="0" borderId="43" xfId="0" applyNumberFormat="1" applyFont="1" applyFill="1" applyBorder="1" applyAlignment="1" quotePrefix="1">
      <alignment horizontal="right" vertical="center"/>
    </xf>
    <xf numFmtId="235" fontId="9" fillId="0" borderId="43" xfId="0" applyNumberFormat="1" applyFont="1" applyFill="1" applyBorder="1" applyAlignment="1">
      <alignment horizontal="right" vertical="center"/>
    </xf>
    <xf numFmtId="235" fontId="9" fillId="0" borderId="45" xfId="0" applyNumberFormat="1" applyFont="1" applyFill="1" applyBorder="1" applyAlignment="1">
      <alignment horizontal="right" vertical="center"/>
    </xf>
    <xf numFmtId="2" fontId="11" fillId="0" borderId="43" xfId="0" applyNumberFormat="1" applyFont="1" applyFill="1" applyBorder="1" applyAlignment="1" quotePrefix="1">
      <alignment vertical="center"/>
    </xf>
    <xf numFmtId="3" fontId="11" fillId="0" borderId="43" xfId="476" applyNumberFormat="1" applyFont="1" applyFill="1" applyBorder="1" applyAlignment="1" quotePrefix="1">
      <alignment horizontal="right" vertical="center"/>
      <protection/>
    </xf>
    <xf numFmtId="235" fontId="11" fillId="0" borderId="43" xfId="476" applyNumberFormat="1" applyFont="1" applyFill="1" applyBorder="1" applyAlignment="1" quotePrefix="1">
      <alignment horizontal="right" vertical="center"/>
      <protection/>
    </xf>
    <xf numFmtId="235" fontId="11" fillId="0" borderId="45" xfId="476" applyNumberFormat="1" applyFont="1" applyFill="1" applyBorder="1" applyAlignment="1" quotePrefix="1">
      <alignment horizontal="right" vertical="center"/>
      <protection/>
    </xf>
    <xf numFmtId="2" fontId="11" fillId="0" borderId="43" xfId="476" applyNumberFormat="1" applyFont="1" applyFill="1" applyBorder="1" applyAlignment="1">
      <alignment horizontal="right" vertical="center"/>
      <protection/>
    </xf>
    <xf numFmtId="2" fontId="11" fillId="0" borderId="45" xfId="476" applyNumberFormat="1" applyFont="1" applyFill="1" applyBorder="1" applyAlignment="1">
      <alignment horizontal="right" vertical="center"/>
      <protection/>
    </xf>
    <xf numFmtId="167" fontId="127" fillId="0" borderId="43" xfId="476" applyNumberFormat="1" applyFont="1" applyFill="1" applyBorder="1" applyAlignment="1" quotePrefix="1">
      <alignment horizontal="right" vertical="center"/>
      <protection/>
    </xf>
    <xf numFmtId="2" fontId="127" fillId="0" borderId="43" xfId="476" applyNumberFormat="1" applyFont="1" applyFill="1" applyBorder="1" applyAlignment="1">
      <alignment horizontal="right" vertical="center"/>
      <protection/>
    </xf>
    <xf numFmtId="2" fontId="127" fillId="0" borderId="45" xfId="476" applyNumberFormat="1" applyFont="1" applyFill="1" applyBorder="1" applyAlignment="1">
      <alignment horizontal="right" vertical="center"/>
      <protection/>
    </xf>
    <xf numFmtId="2" fontId="11" fillId="0" borderId="43" xfId="476" applyNumberFormat="1" applyFont="1" applyFill="1" applyBorder="1" applyAlignment="1" quotePrefix="1">
      <alignment horizontal="right" vertical="center"/>
      <protection/>
    </xf>
    <xf numFmtId="2" fontId="11" fillId="0" borderId="45" xfId="476" applyNumberFormat="1" applyFont="1" applyFill="1" applyBorder="1" applyAlignment="1" quotePrefix="1">
      <alignment horizontal="right" vertical="center"/>
      <protection/>
    </xf>
    <xf numFmtId="2" fontId="9" fillId="0" borderId="43" xfId="476" applyNumberFormat="1" applyFont="1" applyFill="1" applyBorder="1" applyAlignment="1">
      <alignment horizontal="right" vertical="center"/>
      <protection/>
    </xf>
    <xf numFmtId="235" fontId="127" fillId="0" borderId="43" xfId="476" applyNumberFormat="1" applyFont="1" applyFill="1" applyBorder="1" applyAlignment="1" quotePrefix="1">
      <alignment horizontal="right" vertical="center"/>
      <protection/>
    </xf>
    <xf numFmtId="1" fontId="127" fillId="0" borderId="43" xfId="476" applyNumberFormat="1" applyFont="1" applyFill="1" applyBorder="1" applyAlignment="1" quotePrefix="1">
      <alignment horizontal="right" vertical="center"/>
      <protection/>
    </xf>
    <xf numFmtId="2" fontId="127" fillId="0" borderId="43" xfId="476" applyNumberFormat="1" applyFont="1" applyFill="1" applyBorder="1" applyAlignment="1" quotePrefix="1">
      <alignment horizontal="right" vertical="center"/>
      <protection/>
    </xf>
    <xf numFmtId="2" fontId="127" fillId="0" borderId="45" xfId="476" applyNumberFormat="1" applyFont="1" applyFill="1" applyBorder="1" applyAlignment="1" quotePrefix="1">
      <alignment horizontal="right" vertical="center"/>
      <protection/>
    </xf>
    <xf numFmtId="1" fontId="9" fillId="0" borderId="43" xfId="476" applyNumberFormat="1" applyFont="1" applyFill="1" applyBorder="1" applyAlignment="1" quotePrefix="1">
      <alignment horizontal="right" vertical="center"/>
      <protection/>
    </xf>
    <xf numFmtId="235" fontId="9" fillId="0" borderId="43" xfId="476" applyNumberFormat="1" applyFont="1" applyFill="1" applyBorder="1" applyAlignment="1" quotePrefix="1">
      <alignment horizontal="right" vertical="center"/>
      <protection/>
    </xf>
    <xf numFmtId="1" fontId="127" fillId="0" borderId="43" xfId="476" applyNumberFormat="1" applyFont="1" applyFill="1" applyBorder="1" applyAlignment="1">
      <alignment horizontal="right" vertical="center"/>
      <protection/>
    </xf>
    <xf numFmtId="1" fontId="127" fillId="0" borderId="45" xfId="476" applyNumberFormat="1" applyFont="1" applyFill="1" applyBorder="1" applyAlignment="1">
      <alignment horizontal="right" vertical="center"/>
      <protection/>
    </xf>
    <xf numFmtId="1" fontId="9" fillId="0" borderId="43" xfId="283" applyNumberFormat="1" applyFont="1" applyFill="1" applyBorder="1" applyAlignment="1">
      <alignment horizontal="right" vertical="center"/>
    </xf>
    <xf numFmtId="235" fontId="9" fillId="0" borderId="43" xfId="283" applyNumberFormat="1" applyFont="1" applyFill="1" applyBorder="1" applyAlignment="1">
      <alignment horizontal="right" vertical="center"/>
    </xf>
    <xf numFmtId="235" fontId="9" fillId="0" borderId="45" xfId="283" applyNumberFormat="1" applyFont="1" applyFill="1" applyBorder="1" applyAlignment="1">
      <alignment horizontal="right" vertical="center"/>
    </xf>
    <xf numFmtId="1" fontId="127" fillId="0" borderId="43" xfId="283" applyNumberFormat="1" applyFont="1" applyFill="1" applyBorder="1" applyAlignment="1">
      <alignment horizontal="right" vertical="center"/>
    </xf>
    <xf numFmtId="235" fontId="127" fillId="0" borderId="43" xfId="0" applyNumberFormat="1" applyFont="1" applyFill="1" applyBorder="1" applyAlignment="1">
      <alignment horizontal="right" vertical="center"/>
    </xf>
    <xf numFmtId="235" fontId="127" fillId="0" borderId="43" xfId="476" applyNumberFormat="1" applyFont="1" applyFill="1" applyBorder="1" applyAlignment="1">
      <alignment horizontal="right" vertical="center"/>
      <protection/>
    </xf>
    <xf numFmtId="235" fontId="127" fillId="0" borderId="43" xfId="264" applyNumberFormat="1" applyFont="1" applyFill="1" applyBorder="1" applyAlignment="1">
      <alignment horizontal="right" vertical="center"/>
    </xf>
    <xf numFmtId="235" fontId="127" fillId="0" borderId="45" xfId="476" applyNumberFormat="1" applyFont="1" applyFill="1" applyBorder="1" applyAlignment="1">
      <alignment horizontal="right" vertical="center"/>
      <protection/>
    </xf>
    <xf numFmtId="1" fontId="9" fillId="0" borderId="43" xfId="0" applyNumberFormat="1" applyFont="1" applyFill="1" applyBorder="1" applyAlignment="1">
      <alignment horizontal="right" vertical="center"/>
    </xf>
    <xf numFmtId="2" fontId="9" fillId="0" borderId="43" xfId="264" applyNumberFormat="1" applyFont="1" applyFill="1" applyBorder="1" applyAlignment="1">
      <alignment horizontal="right" vertical="center"/>
    </xf>
    <xf numFmtId="1" fontId="127" fillId="0" borderId="43" xfId="277" applyNumberFormat="1" applyFont="1" applyFill="1" applyBorder="1" applyAlignment="1">
      <alignment horizontal="right" vertical="center"/>
    </xf>
    <xf numFmtId="2" fontId="127" fillId="0" borderId="43" xfId="277" applyNumberFormat="1" applyFont="1" applyFill="1" applyBorder="1" applyAlignment="1">
      <alignment horizontal="right" vertical="center"/>
    </xf>
    <xf numFmtId="235" fontId="127" fillId="0" borderId="43" xfId="277" applyNumberFormat="1" applyFont="1" applyFill="1" applyBorder="1" applyAlignment="1">
      <alignment horizontal="right" vertical="center"/>
    </xf>
    <xf numFmtId="235" fontId="127" fillId="0" borderId="45" xfId="277" applyNumberFormat="1" applyFont="1" applyFill="1" applyBorder="1" applyAlignment="1">
      <alignment horizontal="right" vertical="center"/>
    </xf>
    <xf numFmtId="2" fontId="135" fillId="0" borderId="43" xfId="0" applyNumberFormat="1" applyFont="1" applyFill="1" applyBorder="1" applyAlignment="1" quotePrefix="1">
      <alignment vertical="center"/>
    </xf>
    <xf numFmtId="235" fontId="135" fillId="0" borderId="45" xfId="476" applyNumberFormat="1" applyFont="1" applyFill="1" applyBorder="1" applyAlignment="1">
      <alignment horizontal="right" vertical="center"/>
      <protection/>
    </xf>
    <xf numFmtId="2" fontId="135" fillId="0" borderId="44" xfId="0" applyNumberFormat="1" applyFont="1" applyFill="1" applyBorder="1" applyAlignment="1" quotePrefix="1">
      <alignment horizontal="center" vertical="center"/>
    </xf>
    <xf numFmtId="2" fontId="11" fillId="0" borderId="43" xfId="0" applyNumberFormat="1" applyFont="1" applyFill="1" applyBorder="1" applyAlignment="1" quotePrefix="1">
      <alignment vertical="center" wrapText="1"/>
    </xf>
    <xf numFmtId="2" fontId="127" fillId="0" borderId="44" xfId="0" applyNumberFormat="1" applyFont="1" applyFill="1" applyBorder="1" applyAlignment="1" quotePrefix="1">
      <alignment horizontal="center" vertical="center"/>
    </xf>
    <xf numFmtId="2" fontId="9" fillId="0" borderId="43" xfId="0" applyNumberFormat="1" applyFont="1" applyFill="1" applyBorder="1" applyAlignment="1">
      <alignment/>
    </xf>
    <xf numFmtId="2" fontId="9" fillId="0" borderId="43" xfId="0" applyNumberFormat="1" applyFont="1" applyFill="1" applyBorder="1" applyAlignment="1">
      <alignment horizontal="right" vertical="center"/>
    </xf>
    <xf numFmtId="3" fontId="9" fillId="0" borderId="45" xfId="476" applyNumberFormat="1" applyFont="1" applyFill="1" applyBorder="1" applyAlignment="1">
      <alignment horizontal="right" vertical="center"/>
      <protection/>
    </xf>
    <xf numFmtId="3" fontId="11" fillId="0" borderId="43" xfId="264" applyNumberFormat="1" applyFont="1" applyFill="1" applyBorder="1" applyAlignment="1">
      <alignment horizontal="right" vertical="center"/>
    </xf>
    <xf numFmtId="3" fontId="11" fillId="0" borderId="45" xfId="476" applyNumberFormat="1" applyFont="1" applyFill="1" applyBorder="1" applyAlignment="1" quotePrefix="1">
      <alignment horizontal="right" vertical="center"/>
      <protection/>
    </xf>
    <xf numFmtId="2" fontId="135" fillId="0" borderId="43" xfId="476" applyNumberFormat="1" applyFont="1" applyFill="1" applyBorder="1" applyAlignment="1" quotePrefix="1">
      <alignment horizontal="right" vertical="center"/>
      <protection/>
    </xf>
    <xf numFmtId="2" fontId="135" fillId="0" borderId="43" xfId="0" applyNumberFormat="1" applyFont="1" applyFill="1" applyBorder="1" applyAlignment="1" quotePrefix="1">
      <alignment horizontal="right" vertical="center"/>
    </xf>
    <xf numFmtId="2" fontId="135" fillId="0" borderId="43" xfId="0" applyNumberFormat="1" applyFont="1" applyFill="1" applyBorder="1" applyAlignment="1">
      <alignment horizontal="right" vertical="center"/>
    </xf>
    <xf numFmtId="2" fontId="135" fillId="0" borderId="45" xfId="0" applyNumberFormat="1" applyFont="1" applyFill="1" applyBorder="1" applyAlignment="1">
      <alignment horizontal="right" vertical="center"/>
    </xf>
    <xf numFmtId="235" fontId="11" fillId="0" borderId="43" xfId="0" applyNumberFormat="1" applyFont="1" applyFill="1" applyBorder="1" applyAlignment="1" quotePrefix="1">
      <alignment horizontal="right" vertical="center"/>
    </xf>
    <xf numFmtId="235" fontId="11" fillId="0" borderId="45" xfId="0" applyNumberFormat="1" applyFont="1" applyFill="1" applyBorder="1" applyAlignment="1" quotePrefix="1">
      <alignment horizontal="right" vertical="center"/>
    </xf>
    <xf numFmtId="2" fontId="11" fillId="0" borderId="44" xfId="465" applyNumberFormat="1" applyFont="1" applyFill="1" applyBorder="1" applyAlignment="1">
      <alignment horizontal="center" vertical="center" wrapText="1"/>
      <protection/>
    </xf>
    <xf numFmtId="2" fontId="11" fillId="0" borderId="43" xfId="465" applyNumberFormat="1" applyFont="1" applyFill="1" applyBorder="1" applyAlignment="1">
      <alignment vertical="center" wrapText="1"/>
      <protection/>
    </xf>
    <xf numFmtId="2" fontId="11" fillId="0" borderId="43" xfId="465" applyNumberFormat="1" applyFont="1" applyFill="1" applyBorder="1" applyAlignment="1">
      <alignment horizontal="center" vertical="center" wrapText="1"/>
      <protection/>
    </xf>
    <xf numFmtId="2" fontId="11" fillId="0" borderId="44" xfId="465" applyNumberFormat="1" applyFont="1" applyFill="1" applyBorder="1" applyAlignment="1">
      <alignment horizontal="center"/>
      <protection/>
    </xf>
    <xf numFmtId="2" fontId="11" fillId="0" borderId="43" xfId="465" applyNumberFormat="1" applyFont="1" applyFill="1" applyBorder="1" applyAlignment="1">
      <alignment horizontal="left" vertical="center" wrapText="1"/>
      <protection/>
    </xf>
    <xf numFmtId="235" fontId="11" fillId="0" borderId="43" xfId="465" applyNumberFormat="1" applyFont="1" applyFill="1" applyBorder="1" applyAlignment="1">
      <alignment horizontal="right" vertical="center"/>
      <protection/>
    </xf>
    <xf numFmtId="1" fontId="11" fillId="0" borderId="43" xfId="465" applyNumberFormat="1" applyFont="1" applyFill="1" applyBorder="1" applyAlignment="1">
      <alignment horizontal="right" vertical="center"/>
      <protection/>
    </xf>
    <xf numFmtId="235" fontId="11" fillId="0" borderId="45" xfId="465" applyNumberFormat="1" applyFont="1" applyFill="1" applyBorder="1" applyAlignment="1">
      <alignment horizontal="right" vertical="center"/>
      <protection/>
    </xf>
    <xf numFmtId="235" fontId="11" fillId="0" borderId="43" xfId="462" applyNumberFormat="1" applyFont="1" applyFill="1" applyBorder="1" applyAlignment="1">
      <alignment horizontal="right" vertical="center"/>
      <protection/>
    </xf>
    <xf numFmtId="235" fontId="11" fillId="0" borderId="45" xfId="462" applyNumberFormat="1" applyFont="1" applyFill="1" applyBorder="1" applyAlignment="1">
      <alignment horizontal="right" vertical="center"/>
      <protection/>
    </xf>
    <xf numFmtId="1" fontId="9" fillId="0" borderId="43" xfId="465" applyNumberFormat="1" applyFont="1" applyFill="1" applyBorder="1" applyAlignment="1">
      <alignment horizontal="right" vertical="center"/>
      <protection/>
    </xf>
    <xf numFmtId="2" fontId="9" fillId="0" borderId="43" xfId="0" applyNumberFormat="1" applyFont="1" applyFill="1" applyBorder="1" applyAlignment="1">
      <alignment vertical="center" wrapText="1"/>
    </xf>
    <xf numFmtId="2" fontId="9" fillId="0" borderId="43" xfId="465" applyNumberFormat="1" applyFont="1" applyFill="1" applyBorder="1" applyAlignment="1">
      <alignment horizontal="right" vertical="center"/>
      <protection/>
    </xf>
    <xf numFmtId="2" fontId="9" fillId="0" borderId="45" xfId="465" applyNumberFormat="1" applyFont="1" applyFill="1" applyBorder="1" applyAlignment="1">
      <alignment horizontal="right" vertical="center"/>
      <protection/>
    </xf>
    <xf numFmtId="2" fontId="11" fillId="0" borderId="43" xfId="0" applyNumberFormat="1" applyFont="1" applyFill="1" applyBorder="1" applyAlignment="1" quotePrefix="1">
      <alignment horizontal="left" vertical="center" wrapText="1"/>
    </xf>
    <xf numFmtId="2" fontId="11" fillId="0" borderId="43" xfId="0" applyNumberFormat="1" applyFont="1" applyFill="1" applyBorder="1" applyAlignment="1">
      <alignment horizontal="center" vertical="center" wrapText="1"/>
    </xf>
    <xf numFmtId="1" fontId="11" fillId="0" borderId="45" xfId="465" applyNumberFormat="1" applyFont="1" applyFill="1" applyBorder="1" applyAlignment="1">
      <alignment horizontal="right" vertical="center"/>
      <protection/>
    </xf>
    <xf numFmtId="2" fontId="11" fillId="0" borderId="44" xfId="0" applyNumberFormat="1" applyFont="1" applyFill="1" applyBorder="1" applyAlignment="1" quotePrefix="1">
      <alignment horizontal="center" vertical="center" wrapText="1"/>
    </xf>
    <xf numFmtId="2" fontId="11" fillId="0" borderId="43" xfId="0" applyNumberFormat="1" applyFont="1" applyFill="1" applyBorder="1" applyAlignment="1">
      <alignment vertical="center" wrapText="1"/>
    </xf>
    <xf numFmtId="1" fontId="11" fillId="0" borderId="43" xfId="0" applyNumberFormat="1" applyFont="1" applyFill="1" applyBorder="1" applyAlignment="1">
      <alignment vertical="center"/>
    </xf>
    <xf numFmtId="1" fontId="11" fillId="0" borderId="45" xfId="0" applyNumberFormat="1" applyFont="1" applyFill="1" applyBorder="1" applyAlignment="1">
      <alignment vertical="center"/>
    </xf>
    <xf numFmtId="2" fontId="9" fillId="0" borderId="46" xfId="0" applyNumberFormat="1" applyFont="1" applyFill="1" applyBorder="1" applyAlignment="1" quotePrefix="1">
      <alignment horizontal="center" vertical="center" wrapText="1"/>
    </xf>
    <xf numFmtId="2" fontId="11" fillId="0" borderId="47" xfId="0" applyNumberFormat="1" applyFont="1" applyFill="1" applyBorder="1" applyAlignment="1">
      <alignment vertical="center" wrapText="1"/>
    </xf>
    <xf numFmtId="2" fontId="11" fillId="0" borderId="47" xfId="0" applyNumberFormat="1" applyFont="1" applyFill="1" applyBorder="1" applyAlignment="1">
      <alignment horizontal="center" vertical="center" wrapText="1"/>
    </xf>
    <xf numFmtId="1" fontId="11" fillId="0" borderId="47" xfId="0" applyNumberFormat="1" applyFont="1" applyFill="1" applyBorder="1" applyAlignment="1">
      <alignment vertical="center"/>
    </xf>
    <xf numFmtId="1" fontId="11" fillId="0" borderId="48" xfId="0" applyNumberFormat="1" applyFont="1" applyFill="1" applyBorder="1" applyAlignment="1">
      <alignment vertical="center"/>
    </xf>
    <xf numFmtId="0" fontId="143" fillId="0" borderId="0" xfId="0" applyFont="1" applyAlignment="1">
      <alignment/>
    </xf>
    <xf numFmtId="0" fontId="7" fillId="0" borderId="0" xfId="0" applyFont="1" applyFill="1" applyBorder="1" applyAlignment="1">
      <alignment horizontal="center" vertical="center" wrapText="1"/>
    </xf>
    <xf numFmtId="0" fontId="139" fillId="0" borderId="54" xfId="0" applyFont="1" applyFill="1" applyBorder="1" applyAlignment="1">
      <alignment vertical="center" wrapText="1"/>
    </xf>
    <xf numFmtId="0" fontId="139" fillId="0" borderId="55" xfId="0" applyFont="1" applyFill="1" applyBorder="1" applyAlignment="1">
      <alignment vertical="center" wrapText="1"/>
    </xf>
    <xf numFmtId="0" fontId="5" fillId="0" borderId="54" xfId="472" applyFont="1" applyFill="1" applyBorder="1" applyAlignment="1">
      <alignment vertical="center" wrapText="1"/>
      <protection/>
    </xf>
    <xf numFmtId="0" fontId="5" fillId="0" borderId="49" xfId="472" applyFont="1" applyFill="1" applyBorder="1" applyAlignment="1">
      <alignment vertical="center" wrapText="1"/>
      <protection/>
    </xf>
    <xf numFmtId="0" fontId="5" fillId="0" borderId="52" xfId="472" applyFont="1" applyFill="1" applyBorder="1" applyAlignment="1">
      <alignment vertical="center" wrapText="1"/>
      <protection/>
    </xf>
    <xf numFmtId="0" fontId="139" fillId="0" borderId="54" xfId="0" applyFont="1" applyFill="1" applyBorder="1" applyAlignment="1">
      <alignment vertical="center" shrinkToFit="1"/>
    </xf>
    <xf numFmtId="0" fontId="4" fillId="0" borderId="43" xfId="0" applyFont="1" applyFill="1" applyBorder="1" applyAlignment="1">
      <alignment horizontal="center" vertical="center" wrapText="1"/>
    </xf>
    <xf numFmtId="0" fontId="4" fillId="0" borderId="44" xfId="470" applyFont="1" applyFill="1" applyBorder="1" applyAlignment="1">
      <alignment horizontal="center" vertical="center" wrapText="1"/>
      <protection/>
    </xf>
    <xf numFmtId="0" fontId="4" fillId="0" borderId="43" xfId="470" applyFont="1" applyFill="1" applyBorder="1" applyAlignment="1">
      <alignment vertical="center" wrapText="1"/>
      <protection/>
    </xf>
    <xf numFmtId="0" fontId="4" fillId="0" borderId="44" xfId="469" applyFont="1" applyFill="1" applyBorder="1" applyAlignment="1">
      <alignment horizontal="center" vertical="center" wrapText="1"/>
      <protection/>
    </xf>
    <xf numFmtId="0" fontId="4" fillId="0" borderId="43" xfId="469" applyFont="1" applyFill="1" applyBorder="1" applyAlignment="1">
      <alignment horizontal="left" vertical="center" wrapText="1"/>
      <protection/>
    </xf>
    <xf numFmtId="0" fontId="4" fillId="0" borderId="43" xfId="469" applyFont="1" applyFill="1" applyBorder="1" applyAlignment="1">
      <alignment horizontal="center" vertical="center" wrapText="1"/>
      <protection/>
    </xf>
    <xf numFmtId="0" fontId="7" fillId="0" borderId="44" xfId="469" applyFont="1" applyFill="1" applyBorder="1" applyAlignment="1">
      <alignment horizontal="center" vertical="center" wrapText="1"/>
      <protection/>
    </xf>
    <xf numFmtId="0" fontId="7" fillId="0" borderId="43" xfId="469" applyFont="1" applyFill="1" applyBorder="1" applyAlignment="1">
      <alignment horizontal="left" vertical="center" wrapText="1"/>
      <protection/>
    </xf>
    <xf numFmtId="0" fontId="7" fillId="0" borderId="43" xfId="469" applyFont="1" applyFill="1" applyBorder="1" applyAlignment="1">
      <alignment horizontal="center" vertical="center" wrapText="1"/>
      <protection/>
    </xf>
    <xf numFmtId="0" fontId="7" fillId="0" borderId="46" xfId="469" applyFont="1" applyFill="1" applyBorder="1" applyAlignment="1">
      <alignment horizontal="center" vertical="center" wrapText="1"/>
      <protection/>
    </xf>
    <xf numFmtId="0" fontId="7" fillId="0" borderId="47" xfId="469" applyFont="1" applyFill="1" applyBorder="1" applyAlignment="1">
      <alignment horizontal="left" vertical="center" wrapText="1"/>
      <protection/>
    </xf>
    <xf numFmtId="0" fontId="7" fillId="0" borderId="47" xfId="469" applyFont="1" applyFill="1" applyBorder="1" applyAlignment="1">
      <alignment horizontal="center" vertical="center" wrapText="1"/>
      <protection/>
    </xf>
    <xf numFmtId="0" fontId="187" fillId="0" borderId="0" xfId="0" applyFont="1" applyAlignment="1">
      <alignment/>
    </xf>
    <xf numFmtId="0" fontId="188" fillId="0" borderId="0" xfId="0" applyFont="1" applyAlignment="1">
      <alignment/>
    </xf>
    <xf numFmtId="0" fontId="189" fillId="0" borderId="0" xfId="0" applyFont="1" applyAlignment="1">
      <alignment/>
    </xf>
    <xf numFmtId="0" fontId="190" fillId="0" borderId="0" xfId="0" applyFont="1" applyAlignment="1">
      <alignment/>
    </xf>
    <xf numFmtId="0" fontId="182" fillId="0" borderId="0" xfId="0" applyFont="1" applyAlignment="1">
      <alignment/>
    </xf>
    <xf numFmtId="0" fontId="187" fillId="0" borderId="43" xfId="0" applyFont="1" applyBorder="1" applyAlignment="1">
      <alignment vertical="center"/>
    </xf>
    <xf numFmtId="0" fontId="0" fillId="0" borderId="0" xfId="0" applyAlignment="1">
      <alignment vertical="center"/>
    </xf>
    <xf numFmtId="0" fontId="187" fillId="0" borderId="45" xfId="0" applyFont="1" applyBorder="1" applyAlignment="1">
      <alignment vertical="center"/>
    </xf>
    <xf numFmtId="0" fontId="187" fillId="0" borderId="0" xfId="0" applyFont="1" applyAlignment="1">
      <alignment vertical="center"/>
    </xf>
    <xf numFmtId="0" fontId="187" fillId="0" borderId="0" xfId="0" applyFont="1" applyAlignment="1">
      <alignment vertical="center" wrapText="1"/>
    </xf>
    <xf numFmtId="0" fontId="187" fillId="0" borderId="47" xfId="0" applyFont="1" applyBorder="1" applyAlignment="1">
      <alignment vertical="center"/>
    </xf>
    <xf numFmtId="0" fontId="187" fillId="0" borderId="48" xfId="0" applyFont="1" applyBorder="1" applyAlignment="1">
      <alignment vertical="center"/>
    </xf>
    <xf numFmtId="0" fontId="191" fillId="0" borderId="43" xfId="0" applyFont="1" applyBorder="1" applyAlignment="1">
      <alignment vertical="center" wrapText="1"/>
    </xf>
    <xf numFmtId="0" fontId="192" fillId="0" borderId="43" xfId="0" applyFont="1" applyBorder="1" applyAlignment="1">
      <alignment vertical="center" wrapText="1"/>
    </xf>
    <xf numFmtId="0" fontId="192" fillId="0" borderId="43" xfId="0" applyFont="1" applyBorder="1" applyAlignment="1">
      <alignment horizontal="right" vertical="center"/>
    </xf>
    <xf numFmtId="167" fontId="192" fillId="0" borderId="43" xfId="0" applyNumberFormat="1" applyFont="1" applyBorder="1" applyAlignment="1">
      <alignment horizontal="right" vertical="center"/>
    </xf>
    <xf numFmtId="0" fontId="193" fillId="0" borderId="43" xfId="0" applyFont="1" applyBorder="1" applyAlignment="1">
      <alignment vertical="center" wrapText="1"/>
    </xf>
    <xf numFmtId="167" fontId="193" fillId="0" borderId="43" xfId="0" applyNumberFormat="1" applyFont="1" applyBorder="1" applyAlignment="1">
      <alignment horizontal="right" vertical="center"/>
    </xf>
    <xf numFmtId="0" fontId="191" fillId="0" borderId="43" xfId="0" applyFont="1" applyBorder="1" applyAlignment="1">
      <alignment horizontal="right" vertical="center"/>
    </xf>
    <xf numFmtId="167" fontId="191" fillId="0" borderId="43" xfId="0" applyNumberFormat="1" applyFont="1" applyBorder="1" applyAlignment="1">
      <alignment horizontal="right" vertical="center"/>
    </xf>
    <xf numFmtId="0" fontId="194" fillId="0" borderId="43" xfId="0" applyFont="1" applyBorder="1" applyAlignment="1">
      <alignment vertical="center" wrapText="1"/>
    </xf>
    <xf numFmtId="3" fontId="192" fillId="0" borderId="43" xfId="0" applyNumberFormat="1" applyFont="1" applyBorder="1" applyAlignment="1">
      <alignment horizontal="right" vertical="center"/>
    </xf>
    <xf numFmtId="0" fontId="192" fillId="0" borderId="47" xfId="0" applyFont="1" applyBorder="1" applyAlignment="1">
      <alignment vertical="center" wrapText="1"/>
    </xf>
    <xf numFmtId="237" fontId="13" fillId="0" borderId="43" xfId="274" applyNumberFormat="1" applyFont="1" applyFill="1" applyBorder="1" applyAlignment="1">
      <alignment vertical="center" wrapText="1"/>
    </xf>
    <xf numFmtId="237" fontId="6" fillId="0" borderId="47" xfId="274" applyNumberFormat="1" applyFont="1" applyFill="1" applyBorder="1" applyAlignment="1">
      <alignment vertical="center" wrapText="1"/>
    </xf>
    <xf numFmtId="3" fontId="187" fillId="0" borderId="43" xfId="0" applyNumberFormat="1" applyFont="1" applyBorder="1" applyAlignment="1">
      <alignment vertical="center"/>
    </xf>
    <xf numFmtId="235" fontId="7" fillId="42" borderId="43" xfId="461" applyNumberFormat="1" applyFont="1" applyFill="1" applyBorder="1" applyAlignment="1">
      <alignment horizontal="right" vertical="center" wrapText="1"/>
      <protection/>
    </xf>
    <xf numFmtId="0" fontId="2" fillId="0" borderId="43" xfId="0" applyFont="1" applyFill="1" applyBorder="1" applyAlignment="1">
      <alignment horizontal="right" vertical="center" wrapText="1"/>
    </xf>
    <xf numFmtId="234" fontId="7" fillId="0" borderId="43" xfId="0" applyNumberFormat="1" applyFont="1" applyFill="1" applyBorder="1" applyAlignment="1">
      <alignment horizontal="right" vertical="center" wrapText="1"/>
    </xf>
    <xf numFmtId="0" fontId="187" fillId="63" borderId="0" xfId="0" applyFont="1" applyFill="1" applyAlignment="1">
      <alignment/>
    </xf>
    <xf numFmtId="4" fontId="195" fillId="0" borderId="56" xfId="0" applyNumberFormat="1" applyFont="1" applyBorder="1" applyAlignment="1">
      <alignment horizontal="right" wrapText="1"/>
    </xf>
    <xf numFmtId="167" fontId="189" fillId="0" borderId="0" xfId="0" applyNumberFormat="1" applyFont="1" applyAlignment="1">
      <alignment/>
    </xf>
    <xf numFmtId="0" fontId="6" fillId="0" borderId="47" xfId="0" applyFont="1" applyFill="1" applyBorder="1" applyAlignment="1">
      <alignment horizontal="left" vertical="center"/>
    </xf>
    <xf numFmtId="0" fontId="6" fillId="0" borderId="47" xfId="0" applyFont="1" applyFill="1" applyBorder="1" applyAlignment="1">
      <alignment horizontal="center" vertical="center"/>
    </xf>
    <xf numFmtId="3" fontId="187" fillId="0" borderId="47" xfId="0" applyNumberFormat="1" applyFont="1" applyBorder="1" applyAlignment="1">
      <alignment vertical="center"/>
    </xf>
    <xf numFmtId="0" fontId="187" fillId="0" borderId="43" xfId="0" applyFont="1" applyFill="1" applyBorder="1" applyAlignment="1">
      <alignment horizontal="right" vertical="center"/>
    </xf>
    <xf numFmtId="0" fontId="2" fillId="0" borderId="43" xfId="0" applyFont="1" applyBorder="1" applyAlignment="1" quotePrefix="1">
      <alignment horizontal="right" vertical="center"/>
    </xf>
    <xf numFmtId="3" fontId="187" fillId="0" borderId="43" xfId="0" applyNumberFormat="1" applyFont="1" applyFill="1" applyBorder="1" applyAlignment="1">
      <alignment vertical="center"/>
    </xf>
    <xf numFmtId="0" fontId="192" fillId="0" borderId="43" xfId="0" applyFont="1" applyBorder="1" applyAlignment="1">
      <alignment vertical="center"/>
    </xf>
    <xf numFmtId="167" fontId="187" fillId="0" borderId="43" xfId="0" applyNumberFormat="1" applyFont="1" applyFill="1" applyBorder="1" applyAlignment="1">
      <alignment horizontal="right" vertical="center"/>
    </xf>
    <xf numFmtId="0" fontId="0" fillId="0" borderId="0" xfId="0" applyFill="1" applyAlignment="1">
      <alignment/>
    </xf>
    <xf numFmtId="0" fontId="187" fillId="0" borderId="43" xfId="0" applyFont="1" applyFill="1" applyBorder="1" applyAlignment="1">
      <alignment vertical="center"/>
    </xf>
    <xf numFmtId="167" fontId="187" fillId="0" borderId="43" xfId="0" applyNumberFormat="1" applyFont="1" applyFill="1" applyBorder="1" applyAlignment="1">
      <alignment vertical="center"/>
    </xf>
    <xf numFmtId="3" fontId="187" fillId="0" borderId="45" xfId="0" applyNumberFormat="1" applyFont="1" applyFill="1" applyBorder="1" applyAlignment="1">
      <alignment vertical="center"/>
    </xf>
    <xf numFmtId="0" fontId="2" fillId="0" borderId="43" xfId="0" applyFont="1" applyFill="1" applyBorder="1" applyAlignment="1">
      <alignment vertical="center" wrapText="1"/>
    </xf>
    <xf numFmtId="3" fontId="188" fillId="0" borderId="43" xfId="0" applyNumberFormat="1" applyFont="1" applyFill="1" applyBorder="1" applyAlignment="1">
      <alignment vertical="center"/>
    </xf>
    <xf numFmtId="0" fontId="188" fillId="0" borderId="43" xfId="0" applyFont="1" applyFill="1" applyBorder="1" applyAlignment="1">
      <alignment vertical="center"/>
    </xf>
    <xf numFmtId="167" fontId="188" fillId="0" borderId="43" xfId="0" applyNumberFormat="1" applyFont="1" applyFill="1" applyBorder="1" applyAlignment="1">
      <alignment vertical="center"/>
    </xf>
    <xf numFmtId="167" fontId="187" fillId="0" borderId="47" xfId="0" applyNumberFormat="1" applyFont="1" applyFill="1" applyBorder="1" applyAlignment="1">
      <alignment vertical="center"/>
    </xf>
    <xf numFmtId="0" fontId="2" fillId="42" borderId="43" xfId="0" applyFont="1" applyFill="1" applyBorder="1" applyAlignment="1">
      <alignment horizontal="right" vertical="center" wrapText="1"/>
    </xf>
    <xf numFmtId="235" fontId="2" fillId="42" borderId="43" xfId="0" applyNumberFormat="1" applyFont="1" applyFill="1" applyBorder="1" applyAlignment="1">
      <alignment horizontal="right" vertical="center" wrapText="1"/>
    </xf>
    <xf numFmtId="0" fontId="7" fillId="64" borderId="43" xfId="461" applyFont="1" applyFill="1" applyBorder="1" applyAlignment="1">
      <alignment horizontal="right" vertical="center" wrapText="1"/>
      <protection/>
    </xf>
    <xf numFmtId="235" fontId="7" fillId="64" borderId="43" xfId="461" applyNumberFormat="1" applyFont="1" applyFill="1" applyBorder="1" applyAlignment="1">
      <alignment horizontal="right" vertical="center" wrapText="1"/>
      <protection/>
    </xf>
    <xf numFmtId="3" fontId="187" fillId="0" borderId="43" xfId="0" applyNumberFormat="1" applyFont="1" applyFill="1" applyBorder="1" applyAlignment="1">
      <alignment horizontal="right" vertical="center"/>
    </xf>
    <xf numFmtId="0" fontId="185" fillId="0" borderId="0" xfId="0" applyFont="1" applyAlignment="1">
      <alignment/>
    </xf>
    <xf numFmtId="0" fontId="144" fillId="0" borderId="44" xfId="0" applyFont="1" applyFill="1" applyBorder="1" applyAlignment="1">
      <alignment horizontal="center" vertical="center" wrapText="1"/>
    </xf>
    <xf numFmtId="0" fontId="144" fillId="0" borderId="43" xfId="0" applyFont="1" applyFill="1" applyBorder="1" applyAlignment="1">
      <alignment vertical="center" wrapText="1"/>
    </xf>
    <xf numFmtId="0" fontId="2" fillId="0" borderId="4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192" fillId="0" borderId="43" xfId="0" applyFont="1" applyBorder="1" applyAlignment="1" quotePrefix="1">
      <alignment horizontal="right" vertical="center"/>
    </xf>
    <xf numFmtId="3" fontId="192" fillId="0" borderId="43" xfId="0" applyNumberFormat="1" applyFont="1" applyBorder="1" applyAlignment="1" quotePrefix="1">
      <alignment horizontal="right" vertical="center"/>
    </xf>
    <xf numFmtId="0" fontId="2" fillId="0" borderId="44" xfId="0" applyFont="1" applyFill="1" applyBorder="1" applyAlignment="1" quotePrefix="1">
      <alignment horizontal="center" vertical="center" wrapText="1"/>
    </xf>
    <xf numFmtId="0" fontId="2" fillId="0" borderId="43"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3" fillId="0" borderId="44" xfId="0" applyFont="1" applyFill="1" applyBorder="1" applyAlignment="1" quotePrefix="1">
      <alignment horizontal="center" vertical="center" wrapText="1"/>
    </xf>
    <xf numFmtId="0" fontId="145" fillId="0" borderId="43" xfId="0" applyFont="1" applyFill="1" applyBorder="1" applyAlignment="1">
      <alignment horizontal="left" vertical="center" wrapText="1"/>
    </xf>
    <xf numFmtId="0" fontId="145" fillId="0" borderId="43" xfId="0" applyFont="1" applyFill="1" applyBorder="1" applyAlignment="1">
      <alignment horizontal="center" vertical="center" wrapText="1"/>
    </xf>
    <xf numFmtId="0" fontId="193" fillId="0" borderId="43" xfId="0" applyFont="1" applyBorder="1" applyAlignment="1" quotePrefix="1">
      <alignment horizontal="right" vertical="center"/>
    </xf>
    <xf numFmtId="3" fontId="145" fillId="0" borderId="43" xfId="0" applyNumberFormat="1" applyFont="1" applyFill="1" applyBorder="1" applyAlignment="1">
      <alignment horizontal="right" vertical="center" wrapText="1"/>
    </xf>
    <xf numFmtId="0" fontId="7" fillId="0" borderId="44" xfId="464" applyFont="1" applyFill="1" applyBorder="1" applyAlignment="1">
      <alignment horizontal="center" vertical="center" wrapText="1"/>
      <protection/>
    </xf>
    <xf numFmtId="0" fontId="7" fillId="0" borderId="43" xfId="464" applyFont="1" applyFill="1" applyBorder="1" applyAlignment="1">
      <alignment horizontal="justify" vertical="center" wrapText="1"/>
      <protection/>
    </xf>
    <xf numFmtId="0" fontId="7" fillId="0" borderId="43" xfId="464" applyFont="1" applyFill="1" applyBorder="1" applyAlignment="1">
      <alignment horizontal="center" vertical="center" wrapText="1"/>
      <protection/>
    </xf>
    <xf numFmtId="0" fontId="145" fillId="0" borderId="44" xfId="464" applyFont="1" applyFill="1" applyBorder="1" applyAlignment="1" quotePrefix="1">
      <alignment horizontal="center" vertical="center" wrapText="1"/>
      <protection/>
    </xf>
    <xf numFmtId="0" fontId="145" fillId="0" borderId="43" xfId="464" applyFont="1" applyFill="1" applyBorder="1" applyAlignment="1" quotePrefix="1">
      <alignment horizontal="justify" vertical="center" wrapText="1"/>
      <protection/>
    </xf>
    <xf numFmtId="0" fontId="7" fillId="0" borderId="44" xfId="468" applyFont="1" applyFill="1" applyBorder="1" applyAlignment="1">
      <alignment horizontal="center" vertical="center"/>
      <protection/>
    </xf>
    <xf numFmtId="49" fontId="7" fillId="0" borderId="43" xfId="473" applyNumberFormat="1" applyFont="1" applyFill="1" applyBorder="1" applyAlignment="1">
      <alignment horizontal="justify" vertical="center" wrapText="1"/>
      <protection/>
    </xf>
    <xf numFmtId="0" fontId="7" fillId="0" borderId="43" xfId="468" applyFont="1" applyFill="1" applyBorder="1" applyAlignment="1">
      <alignment vertical="center"/>
      <protection/>
    </xf>
    <xf numFmtId="0" fontId="7" fillId="0" borderId="44" xfId="475" applyFont="1" applyFill="1" applyBorder="1" applyAlignment="1">
      <alignment horizontal="center" vertical="center"/>
      <protection/>
    </xf>
    <xf numFmtId="0" fontId="7" fillId="0" borderId="43" xfId="475" applyFont="1" applyFill="1" applyBorder="1" applyAlignment="1">
      <alignment horizontal="justify" vertical="center" wrapText="1"/>
      <protection/>
    </xf>
    <xf numFmtId="0" fontId="7" fillId="0" borderId="43" xfId="475" applyFont="1" applyFill="1" applyBorder="1" applyAlignment="1">
      <alignment horizontal="center" vertical="center"/>
      <protection/>
    </xf>
    <xf numFmtId="49" fontId="7" fillId="0" borderId="43" xfId="473" applyNumberFormat="1" applyFont="1" applyFill="1" applyBorder="1" applyAlignment="1">
      <alignment horizontal="left" vertical="center" wrapText="1"/>
      <protection/>
    </xf>
    <xf numFmtId="0" fontId="7" fillId="0" borderId="43" xfId="473" applyFont="1" applyFill="1" applyBorder="1" applyAlignment="1">
      <alignment horizontal="center" vertical="center"/>
      <protection/>
    </xf>
    <xf numFmtId="0" fontId="144" fillId="0" borderId="43" xfId="0" applyFont="1" applyFill="1" applyBorder="1" applyAlignment="1">
      <alignment vertical="center" shrinkToFit="1"/>
    </xf>
    <xf numFmtId="0" fontId="7" fillId="0" borderId="43" xfId="0" applyFont="1" applyFill="1" applyBorder="1" applyAlignment="1">
      <alignment horizontal="left" vertical="center"/>
    </xf>
    <xf numFmtId="0" fontId="7" fillId="0" borderId="44" xfId="473" applyFont="1" applyFill="1" applyBorder="1" applyAlignment="1">
      <alignment horizontal="center" vertical="center" wrapText="1"/>
      <protection/>
    </xf>
    <xf numFmtId="0" fontId="192" fillId="0" borderId="43" xfId="0" applyFont="1" applyFill="1" applyBorder="1" applyAlignment="1">
      <alignment horizontal="right" vertical="center"/>
    </xf>
    <xf numFmtId="167" fontId="192" fillId="0" borderId="43" xfId="0" applyNumberFormat="1" applyFont="1" applyFill="1" applyBorder="1" applyAlignment="1">
      <alignment horizontal="right" vertical="center"/>
    </xf>
    <xf numFmtId="167" fontId="192" fillId="0" borderId="43" xfId="468" applyNumberFormat="1" applyFont="1" applyBorder="1" applyAlignment="1">
      <alignment horizontal="right" vertical="center"/>
      <protection/>
    </xf>
    <xf numFmtId="235" fontId="192" fillId="64" borderId="43" xfId="0" applyNumberFormat="1" applyFont="1" applyFill="1" applyBorder="1" applyAlignment="1">
      <alignment horizontal="right" vertical="center"/>
    </xf>
    <xf numFmtId="0" fontId="192" fillId="64" borderId="43" xfId="0" applyFont="1" applyFill="1" applyBorder="1" applyAlignment="1">
      <alignment horizontal="right" vertical="center"/>
    </xf>
    <xf numFmtId="3" fontId="192" fillId="64" borderId="43" xfId="0" applyNumberFormat="1" applyFont="1" applyFill="1" applyBorder="1" applyAlignment="1">
      <alignment horizontal="right" vertical="center"/>
    </xf>
    <xf numFmtId="167" fontId="192" fillId="64" borderId="43" xfId="0" applyNumberFormat="1" applyFont="1" applyFill="1" applyBorder="1" applyAlignment="1">
      <alignment horizontal="right" vertical="center"/>
    </xf>
    <xf numFmtId="49" fontId="7" fillId="0" borderId="43" xfId="468" applyNumberFormat="1" applyFont="1" applyFill="1" applyBorder="1" applyAlignment="1">
      <alignment horizontal="left" vertical="center" wrapText="1"/>
      <protection/>
    </xf>
    <xf numFmtId="0" fontId="7" fillId="0" borderId="43" xfId="468" applyFont="1" applyFill="1" applyBorder="1" applyAlignment="1">
      <alignment horizontal="center" vertical="center" wrapText="1"/>
      <protection/>
    </xf>
    <xf numFmtId="49" fontId="7" fillId="0" borderId="43" xfId="468" applyNumberFormat="1" applyFont="1" applyFill="1" applyBorder="1" applyAlignment="1" quotePrefix="1">
      <alignment horizontal="left" vertical="center" wrapText="1"/>
      <protection/>
    </xf>
    <xf numFmtId="0" fontId="2" fillId="0" borderId="44" xfId="0" applyFont="1" applyFill="1" applyBorder="1" applyAlignment="1" quotePrefix="1">
      <alignment horizontal="center" vertical="center"/>
    </xf>
    <xf numFmtId="0" fontId="3" fillId="0" borderId="43" xfId="0" applyFont="1" applyFill="1" applyBorder="1" applyAlignment="1">
      <alignment vertical="center" wrapText="1"/>
    </xf>
    <xf numFmtId="0" fontId="3" fillId="0" borderId="43" xfId="0" applyFont="1" applyFill="1" applyBorder="1" applyAlignment="1" quotePrefix="1">
      <alignment vertical="center" wrapText="1"/>
    </xf>
    <xf numFmtId="49" fontId="7" fillId="0" borderId="43" xfId="473" applyNumberFormat="1" applyFont="1" applyFill="1" applyBorder="1" applyAlignment="1" quotePrefix="1">
      <alignment horizontal="justify" vertical="center" wrapText="1"/>
      <protection/>
    </xf>
    <xf numFmtId="0" fontId="7" fillId="0" borderId="43" xfId="471" applyFont="1" applyFill="1" applyBorder="1" applyAlignment="1" quotePrefix="1">
      <alignment vertical="center" wrapText="1"/>
      <protection/>
    </xf>
    <xf numFmtId="0" fontId="7" fillId="0" borderId="43" xfId="471" applyFont="1" applyFill="1" applyBorder="1" applyAlignment="1">
      <alignment vertical="center" wrapText="1"/>
      <protection/>
    </xf>
    <xf numFmtId="0" fontId="7" fillId="0" borderId="43" xfId="471" applyFont="1" applyFill="1" applyBorder="1" applyAlignment="1">
      <alignment horizontal="center" vertical="center" wrapText="1"/>
      <protection/>
    </xf>
    <xf numFmtId="0" fontId="7" fillId="0" borderId="44" xfId="0" applyFont="1" applyFill="1" applyBorder="1" applyAlignment="1">
      <alignment horizontal="center" vertical="center"/>
    </xf>
    <xf numFmtId="0" fontId="7" fillId="0" borderId="43" xfId="0" applyFont="1" applyFill="1" applyBorder="1" applyAlignment="1" quotePrefix="1">
      <alignment horizontal="left" vertical="center" wrapText="1"/>
    </xf>
    <xf numFmtId="0" fontId="7" fillId="0" borderId="43" xfId="0" applyFont="1" applyFill="1" applyBorder="1" applyAlignment="1">
      <alignment horizontal="center" vertical="center"/>
    </xf>
    <xf numFmtId="0" fontId="7" fillId="0" borderId="43" xfId="0" applyFont="1" applyFill="1" applyBorder="1" applyAlignment="1" quotePrefix="1">
      <alignment vertical="center" wrapText="1"/>
    </xf>
    <xf numFmtId="0" fontId="7" fillId="0" borderId="44" xfId="473" applyFont="1" applyFill="1" applyBorder="1" applyAlignment="1">
      <alignment horizontal="center" vertical="center"/>
      <protection/>
    </xf>
    <xf numFmtId="49" fontId="7" fillId="0" borderId="43" xfId="468" applyNumberFormat="1" applyFont="1" applyFill="1" applyBorder="1" applyAlignment="1">
      <alignment horizontal="justify" vertical="center" wrapText="1"/>
      <protection/>
    </xf>
    <xf numFmtId="0" fontId="7" fillId="0" borderId="43" xfId="472" applyFont="1" applyFill="1" applyBorder="1" applyAlignment="1" quotePrefix="1">
      <alignment horizontal="left" vertical="center" wrapText="1"/>
      <protection/>
    </xf>
    <xf numFmtId="0" fontId="7" fillId="0" borderId="43" xfId="472" applyFont="1" applyFill="1" applyBorder="1" applyAlignment="1">
      <alignment vertical="center" wrapText="1"/>
      <protection/>
    </xf>
    <xf numFmtId="0" fontId="4" fillId="0" borderId="44" xfId="475" applyFont="1" applyFill="1" applyBorder="1" applyAlignment="1">
      <alignment horizontal="center" vertical="center"/>
      <protection/>
    </xf>
    <xf numFmtId="0" fontId="4" fillId="0" borderId="43" xfId="472" applyFont="1" applyFill="1" applyBorder="1" applyAlignment="1">
      <alignment vertical="center" wrapText="1"/>
      <protection/>
    </xf>
    <xf numFmtId="3" fontId="191" fillId="0" borderId="43" xfId="0" applyNumberFormat="1" applyFont="1" applyFill="1" applyBorder="1" applyAlignment="1">
      <alignment horizontal="right" vertical="center"/>
    </xf>
    <xf numFmtId="0" fontId="191" fillId="0" borderId="43" xfId="0" applyFont="1" applyFill="1" applyBorder="1" applyAlignment="1">
      <alignment horizontal="right" vertical="center"/>
    </xf>
    <xf numFmtId="3" fontId="192" fillId="0" borderId="43" xfId="0" applyNumberFormat="1" applyFont="1" applyFill="1" applyBorder="1" applyAlignment="1">
      <alignment horizontal="right" vertical="center"/>
    </xf>
    <xf numFmtId="167" fontId="191" fillId="0" borderId="43" xfId="0" applyNumberFormat="1" applyFont="1" applyFill="1" applyBorder="1" applyAlignment="1">
      <alignment horizontal="right" vertical="center"/>
    </xf>
    <xf numFmtId="167" fontId="192" fillId="0" borderId="47" xfId="0" applyNumberFormat="1" applyFont="1" applyFill="1" applyBorder="1" applyAlignment="1">
      <alignment horizontal="right" vertical="center"/>
    </xf>
    <xf numFmtId="167" fontId="192" fillId="0" borderId="47" xfId="0" applyNumberFormat="1" applyFont="1" applyBorder="1" applyAlignment="1">
      <alignment horizontal="right" vertical="center"/>
    </xf>
    <xf numFmtId="167" fontId="192" fillId="0" borderId="43" xfId="0" applyNumberFormat="1" applyFont="1" applyBorder="1" applyAlignment="1" quotePrefix="1">
      <alignment horizontal="right" vertical="center"/>
    </xf>
    <xf numFmtId="167" fontId="187" fillId="0" borderId="0" xfId="0" applyNumberFormat="1" applyFont="1" applyAlignment="1">
      <alignment vertical="center" wrapText="1"/>
    </xf>
    <xf numFmtId="236" fontId="187" fillId="0" borderId="0" xfId="0" applyNumberFormat="1" applyFont="1" applyAlignment="1">
      <alignment vertical="center" wrapText="1"/>
    </xf>
    <xf numFmtId="0" fontId="191" fillId="0" borderId="44" xfId="0" applyFont="1" applyBorder="1" applyAlignment="1">
      <alignment horizontal="center" vertical="center" wrapText="1"/>
    </xf>
    <xf numFmtId="0" fontId="192" fillId="0" borderId="44" xfId="0" applyFont="1" applyBorder="1" applyAlignment="1">
      <alignment horizontal="center" vertical="center" wrapText="1"/>
    </xf>
    <xf numFmtId="3" fontId="192" fillId="0" borderId="43" xfId="0" applyNumberFormat="1" applyFont="1" applyBorder="1" applyAlignment="1">
      <alignment horizontal="right" vertical="center" wrapText="1"/>
    </xf>
    <xf numFmtId="167" fontId="192" fillId="0" borderId="43" xfId="0" applyNumberFormat="1" applyFont="1" applyBorder="1" applyAlignment="1">
      <alignment horizontal="right" vertical="center" wrapText="1"/>
    </xf>
    <xf numFmtId="0" fontId="193" fillId="0" borderId="44" xfId="0" applyFont="1" applyBorder="1" applyAlignment="1">
      <alignment horizontal="center" vertical="center" wrapText="1"/>
    </xf>
    <xf numFmtId="0" fontId="193" fillId="0" borderId="43" xfId="0" applyFont="1" applyBorder="1" applyAlignment="1">
      <alignment horizontal="center" vertical="center" wrapText="1"/>
    </xf>
    <xf numFmtId="3" fontId="193" fillId="0" borderId="43" xfId="0" applyNumberFormat="1" applyFont="1" applyBorder="1" applyAlignment="1">
      <alignment horizontal="right" vertical="center" wrapText="1"/>
    </xf>
    <xf numFmtId="0" fontId="191" fillId="0" borderId="43" xfId="0" applyFont="1" applyBorder="1" applyAlignment="1">
      <alignment horizontal="center" vertical="center" wrapText="1"/>
    </xf>
    <xf numFmtId="3" fontId="191" fillId="0" borderId="43" xfId="0" applyNumberFormat="1" applyFont="1" applyBorder="1" applyAlignment="1">
      <alignment horizontal="right" vertical="center" wrapText="1"/>
    </xf>
    <xf numFmtId="0" fontId="194" fillId="0" borderId="44" xfId="0" applyFont="1" applyBorder="1" applyAlignment="1">
      <alignment horizontal="center" vertical="center" wrapText="1"/>
    </xf>
    <xf numFmtId="0" fontId="194" fillId="0" borderId="43" xfId="0" applyFont="1" applyBorder="1" applyAlignment="1">
      <alignment horizontal="center" vertical="center" wrapText="1"/>
    </xf>
    <xf numFmtId="3" fontId="194" fillId="0" borderId="43" xfId="0" applyNumberFormat="1" applyFont="1" applyBorder="1" applyAlignment="1">
      <alignment horizontal="right" vertical="center" wrapText="1"/>
    </xf>
    <xf numFmtId="167" fontId="194" fillId="0" borderId="43" xfId="0" applyNumberFormat="1" applyFont="1" applyBorder="1" applyAlignment="1">
      <alignment horizontal="right" vertical="center" wrapText="1"/>
    </xf>
    <xf numFmtId="167" fontId="191" fillId="0" borderId="43" xfId="0" applyNumberFormat="1" applyFont="1" applyBorder="1" applyAlignment="1">
      <alignment horizontal="right" vertical="center" wrapText="1"/>
    </xf>
    <xf numFmtId="167" fontId="193" fillId="0" borderId="43" xfId="0" applyNumberFormat="1" applyFont="1" applyBorder="1" applyAlignment="1">
      <alignment horizontal="right" vertical="center" wrapText="1"/>
    </xf>
    <xf numFmtId="0" fontId="191" fillId="0" borderId="43" xfId="0" applyFont="1" applyBorder="1" applyAlignment="1">
      <alignment horizontal="right" vertical="center" wrapText="1"/>
    </xf>
    <xf numFmtId="0" fontId="192" fillId="0" borderId="46" xfId="0" applyFont="1" applyBorder="1" applyAlignment="1">
      <alignment horizontal="center" vertical="center" wrapText="1"/>
    </xf>
    <xf numFmtId="0" fontId="192" fillId="0" borderId="47" xfId="0" applyFont="1" applyBorder="1" applyAlignment="1">
      <alignment horizontal="center" vertical="center" wrapText="1"/>
    </xf>
    <xf numFmtId="3" fontId="192" fillId="0" borderId="47" xfId="0" applyNumberFormat="1" applyFont="1" applyBorder="1" applyAlignment="1">
      <alignment horizontal="right" vertical="center" wrapText="1"/>
    </xf>
    <xf numFmtId="4" fontId="191" fillId="0" borderId="43" xfId="0" applyNumberFormat="1" applyFont="1" applyBorder="1" applyAlignment="1">
      <alignment vertical="center" wrapText="1"/>
    </xf>
    <xf numFmtId="4" fontId="192" fillId="0" borderId="43" xfId="0" applyNumberFormat="1" applyFont="1" applyBorder="1" applyAlignment="1">
      <alignment vertical="center" wrapText="1"/>
    </xf>
    <xf numFmtId="3" fontId="192" fillId="0" borderId="43" xfId="0" applyNumberFormat="1" applyFont="1" applyBorder="1" applyAlignment="1">
      <alignment vertical="center" wrapText="1"/>
    </xf>
    <xf numFmtId="4" fontId="192" fillId="0" borderId="43" xfId="0" applyNumberFormat="1" applyFont="1" applyBorder="1" applyAlignment="1">
      <alignment horizontal="right" vertical="center" wrapText="1"/>
    </xf>
    <xf numFmtId="4" fontId="194" fillId="0" borderId="43" xfId="0" applyNumberFormat="1" applyFont="1" applyBorder="1" applyAlignment="1">
      <alignment horizontal="right" vertical="center" wrapText="1"/>
    </xf>
    <xf numFmtId="167" fontId="7" fillId="0" borderId="43" xfId="0" applyNumberFormat="1" applyFont="1" applyFill="1" applyBorder="1" applyAlignment="1">
      <alignment horizontal="right" vertical="center" wrapText="1"/>
    </xf>
    <xf numFmtId="167" fontId="192" fillId="64" borderId="43"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192" fillId="64" borderId="43" xfId="0" applyNumberFormat="1" applyFont="1" applyFill="1" applyBorder="1" applyAlignment="1">
      <alignment horizontal="right" vertical="center" wrapText="1"/>
    </xf>
    <xf numFmtId="3" fontId="7" fillId="0" borderId="47" xfId="0" applyNumberFormat="1" applyFont="1" applyFill="1" applyBorder="1" applyAlignment="1">
      <alignment horizontal="right" vertical="center" wrapText="1"/>
    </xf>
    <xf numFmtId="3" fontId="192" fillId="64" borderId="47" xfId="0" applyNumberFormat="1" applyFont="1" applyFill="1" applyBorder="1" applyAlignment="1">
      <alignment horizontal="right" vertical="center" wrapText="1"/>
    </xf>
    <xf numFmtId="167" fontId="192" fillId="0" borderId="47" xfId="0" applyNumberFormat="1" applyFont="1" applyBorder="1" applyAlignment="1">
      <alignment horizontal="right" vertical="center" wrapText="1"/>
    </xf>
    <xf numFmtId="167" fontId="187" fillId="0" borderId="0" xfId="0" applyNumberFormat="1" applyFont="1" applyAlignment="1">
      <alignment/>
    </xf>
    <xf numFmtId="167" fontId="190" fillId="0" borderId="0" xfId="0" applyNumberFormat="1" applyFont="1" applyAlignment="1">
      <alignment/>
    </xf>
    <xf numFmtId="235" fontId="194" fillId="0" borderId="43" xfId="0" applyNumberFormat="1" applyFont="1" applyBorder="1" applyAlignment="1">
      <alignment horizontal="right" vertical="center" wrapText="1"/>
    </xf>
    <xf numFmtId="167" fontId="2" fillId="0" borderId="43" xfId="0" applyNumberFormat="1" applyFont="1" applyFill="1" applyBorder="1" applyAlignment="1">
      <alignment horizontal="right" vertical="center" wrapText="1"/>
    </xf>
    <xf numFmtId="0" fontId="141" fillId="0" borderId="44" xfId="0" applyFont="1" applyFill="1" applyBorder="1" applyAlignment="1">
      <alignment horizontal="center" vertical="center"/>
    </xf>
    <xf numFmtId="0" fontId="141" fillId="0" borderId="43" xfId="0" applyFont="1" applyFill="1" applyBorder="1" applyAlignment="1">
      <alignment horizontal="left" vertical="center"/>
    </xf>
    <xf numFmtId="0" fontId="141" fillId="0" borderId="43" xfId="0" applyFont="1" applyFill="1" applyBorder="1" applyAlignment="1">
      <alignment horizontal="center" vertical="center"/>
    </xf>
    <xf numFmtId="41" fontId="5" fillId="0" borderId="43" xfId="274" applyFont="1" applyFill="1" applyBorder="1" applyAlignment="1">
      <alignment vertical="center"/>
    </xf>
    <xf numFmtId="0" fontId="187" fillId="0" borderId="45" xfId="0" applyFont="1" applyFill="1" applyBorder="1" applyAlignment="1">
      <alignment vertical="center"/>
    </xf>
    <xf numFmtId="0" fontId="187" fillId="0" borderId="43" xfId="0" applyFont="1" applyFill="1" applyBorder="1" applyAlignment="1" quotePrefix="1">
      <alignment horizontal="right" vertical="center"/>
    </xf>
    <xf numFmtId="0" fontId="188" fillId="0" borderId="45" xfId="0" applyFont="1" applyFill="1" applyBorder="1" applyAlignment="1">
      <alignment vertical="center"/>
    </xf>
    <xf numFmtId="3" fontId="190" fillId="0" borderId="43" xfId="0" applyNumberFormat="1" applyFont="1" applyFill="1" applyBorder="1" applyAlignment="1">
      <alignment vertical="center"/>
    </xf>
    <xf numFmtId="167" fontId="190" fillId="0" borderId="43" xfId="0" applyNumberFormat="1" applyFont="1" applyFill="1" applyBorder="1" applyAlignment="1">
      <alignment vertical="center"/>
    </xf>
    <xf numFmtId="0" fontId="190" fillId="0" borderId="43" xfId="0" applyFont="1" applyFill="1" applyBorder="1" applyAlignment="1">
      <alignment vertical="center"/>
    </xf>
    <xf numFmtId="0" fontId="187" fillId="0" borderId="47" xfId="0" applyFont="1" applyFill="1" applyBorder="1" applyAlignment="1">
      <alignment horizontal="right" vertical="center"/>
    </xf>
    <xf numFmtId="167" fontId="187" fillId="0" borderId="45" xfId="0" applyNumberFormat="1" applyFont="1" applyFill="1" applyBorder="1" applyAlignment="1">
      <alignment vertical="center"/>
    </xf>
    <xf numFmtId="167" fontId="187" fillId="0" borderId="48" xfId="0" applyNumberFormat="1" applyFont="1" applyFill="1" applyBorder="1" applyAlignment="1">
      <alignment vertical="center"/>
    </xf>
    <xf numFmtId="0" fontId="187" fillId="0" borderId="0" xfId="0" applyFont="1" applyFill="1" applyAlignment="1">
      <alignment/>
    </xf>
    <xf numFmtId="167" fontId="188" fillId="0" borderId="45" xfId="0" applyNumberFormat="1" applyFont="1" applyFill="1" applyBorder="1" applyAlignment="1">
      <alignment vertical="center"/>
    </xf>
    <xf numFmtId="0" fontId="189" fillId="0" borderId="43" xfId="0" applyFont="1" applyFill="1" applyBorder="1" applyAlignment="1">
      <alignment vertical="center"/>
    </xf>
    <xf numFmtId="3" fontId="189" fillId="0" borderId="43" xfId="0" applyNumberFormat="1" applyFont="1" applyFill="1" applyBorder="1" applyAlignment="1">
      <alignment vertical="center"/>
    </xf>
    <xf numFmtId="167" fontId="189" fillId="0" borderId="43" xfId="0" applyNumberFormat="1" applyFont="1" applyFill="1" applyBorder="1" applyAlignment="1">
      <alignment vertical="center"/>
    </xf>
    <xf numFmtId="167" fontId="190" fillId="0" borderId="45" xfId="0" applyNumberFormat="1" applyFont="1" applyFill="1" applyBorder="1" applyAlignment="1">
      <alignment vertical="center"/>
    </xf>
    <xf numFmtId="167" fontId="189" fillId="0" borderId="45" xfId="0" applyNumberFormat="1" applyFont="1" applyFill="1" applyBorder="1" applyAlignment="1">
      <alignment vertical="center"/>
    </xf>
    <xf numFmtId="0" fontId="7" fillId="0" borderId="43" xfId="0" applyFont="1" applyBorder="1" applyAlignment="1">
      <alignment horizontal="right" vertical="center"/>
    </xf>
    <xf numFmtId="3" fontId="7" fillId="0" borderId="43" xfId="0" applyNumberFormat="1" applyFont="1" applyBorder="1" applyAlignment="1">
      <alignment horizontal="right" vertical="center"/>
    </xf>
    <xf numFmtId="167" fontId="7" fillId="0" borderId="43" xfId="0" applyNumberFormat="1" applyFont="1" applyBorder="1" applyAlignment="1">
      <alignment horizontal="right" vertical="center"/>
    </xf>
    <xf numFmtId="0" fontId="164" fillId="0" borderId="0" xfId="0" applyFont="1" applyAlignment="1">
      <alignment/>
    </xf>
    <xf numFmtId="0" fontId="192" fillId="0" borderId="44" xfId="0" applyFont="1" applyFill="1" applyBorder="1" applyAlignment="1">
      <alignment horizontal="center" vertical="center" wrapText="1"/>
    </xf>
    <xf numFmtId="0" fontId="192" fillId="0" borderId="43" xfId="0" applyFont="1" applyFill="1" applyBorder="1" applyAlignment="1">
      <alignment vertical="center" wrapText="1"/>
    </xf>
    <xf numFmtId="0" fontId="192" fillId="0" borderId="43" xfId="0" applyFont="1" applyFill="1" applyBorder="1" applyAlignment="1">
      <alignment horizontal="center" vertical="center" wrapText="1"/>
    </xf>
    <xf numFmtId="0" fontId="192" fillId="0" borderId="43" xfId="0" applyFont="1" applyFill="1" applyBorder="1" applyAlignment="1">
      <alignment horizontal="right" vertical="center" wrapText="1"/>
    </xf>
    <xf numFmtId="3" fontId="192" fillId="0" borderId="43" xfId="0" applyNumberFormat="1" applyFont="1" applyFill="1" applyBorder="1" applyAlignment="1">
      <alignment vertical="center" wrapText="1"/>
    </xf>
    <xf numFmtId="167" fontId="192" fillId="0" borderId="43" xfId="0" applyNumberFormat="1" applyFont="1" applyFill="1" applyBorder="1" applyAlignment="1">
      <alignment vertical="center" wrapText="1"/>
    </xf>
    <xf numFmtId="0" fontId="193" fillId="0" borderId="44" xfId="0" applyFont="1" applyFill="1" applyBorder="1" applyAlignment="1">
      <alignment horizontal="center" vertical="center" wrapText="1"/>
    </xf>
    <xf numFmtId="0" fontId="193" fillId="0" borderId="43" xfId="0" applyFont="1" applyFill="1" applyBorder="1" applyAlignment="1">
      <alignment vertical="center" wrapText="1"/>
    </xf>
    <xf numFmtId="0" fontId="193" fillId="0" borderId="43" xfId="0" applyFont="1" applyFill="1" applyBorder="1" applyAlignment="1">
      <alignment horizontal="center" vertical="center" wrapText="1"/>
    </xf>
    <xf numFmtId="0" fontId="193" fillId="0" borderId="43" xfId="0" applyFont="1" applyFill="1" applyBorder="1" applyAlignment="1">
      <alignment horizontal="right" vertical="center" wrapText="1"/>
    </xf>
    <xf numFmtId="3" fontId="193" fillId="0" borderId="43" xfId="0" applyNumberFormat="1" applyFont="1" applyFill="1" applyBorder="1" applyAlignment="1">
      <alignment vertical="center" wrapText="1"/>
    </xf>
    <xf numFmtId="0" fontId="189" fillId="0" borderId="0" xfId="0" applyFont="1" applyFill="1" applyAlignment="1">
      <alignment/>
    </xf>
    <xf numFmtId="235" fontId="192" fillId="0" borderId="43" xfId="0" applyNumberFormat="1" applyFont="1" applyFill="1" applyBorder="1" applyAlignment="1">
      <alignment vertical="center" wrapText="1"/>
    </xf>
    <xf numFmtId="0" fontId="7" fillId="64" borderId="44" xfId="464" applyFont="1" applyFill="1" applyBorder="1" applyAlignment="1">
      <alignment horizontal="center" vertical="center" wrapText="1"/>
      <protection/>
    </xf>
    <xf numFmtId="0" fontId="7" fillId="64" borderId="43" xfId="464" applyFont="1" applyFill="1" applyBorder="1" applyAlignment="1">
      <alignment horizontal="justify" vertical="center" wrapText="1"/>
      <protection/>
    </xf>
    <xf numFmtId="0" fontId="7" fillId="64" borderId="43" xfId="464" applyFont="1" applyFill="1" applyBorder="1" applyAlignment="1">
      <alignment horizontal="center" vertical="center" wrapText="1"/>
      <protection/>
    </xf>
    <xf numFmtId="0" fontId="0" fillId="64" borderId="0" xfId="0" applyFill="1" applyAlignment="1">
      <alignment/>
    </xf>
    <xf numFmtId="0" fontId="7" fillId="64" borderId="44" xfId="475" applyFont="1" applyFill="1" applyBorder="1" applyAlignment="1">
      <alignment horizontal="center" vertical="center"/>
      <protection/>
    </xf>
    <xf numFmtId="0" fontId="7" fillId="64" borderId="43" xfId="475" applyFont="1" applyFill="1" applyBorder="1" applyAlignment="1">
      <alignment horizontal="justify" vertical="center" wrapText="1"/>
      <protection/>
    </xf>
    <xf numFmtId="0" fontId="7" fillId="64" borderId="43" xfId="475" applyFont="1" applyFill="1" applyBorder="1" applyAlignment="1">
      <alignment horizontal="center" vertical="center" wrapText="1"/>
      <protection/>
    </xf>
    <xf numFmtId="0" fontId="196" fillId="64" borderId="43" xfId="0" applyFont="1" applyFill="1" applyBorder="1" applyAlignment="1">
      <alignment horizontal="right" vertical="center"/>
    </xf>
    <xf numFmtId="3" fontId="196" fillId="64" borderId="43" xfId="0" applyNumberFormat="1" applyFont="1" applyFill="1" applyBorder="1" applyAlignment="1">
      <alignment horizontal="right" vertical="center"/>
    </xf>
    <xf numFmtId="0" fontId="7" fillId="64" borderId="43" xfId="475" applyFont="1" applyFill="1" applyBorder="1" applyAlignment="1">
      <alignment horizontal="center" vertical="center"/>
      <protection/>
    </xf>
    <xf numFmtId="0" fontId="7" fillId="64" borderId="44" xfId="473" applyFont="1" applyFill="1" applyBorder="1" applyAlignment="1" quotePrefix="1">
      <alignment horizontal="center" vertical="center"/>
      <protection/>
    </xf>
    <xf numFmtId="49" fontId="7" fillId="64" borderId="43" xfId="473" applyNumberFormat="1" applyFont="1" applyFill="1" applyBorder="1" applyAlignment="1">
      <alignment horizontal="left" vertical="center" wrapText="1"/>
      <protection/>
    </xf>
    <xf numFmtId="0" fontId="7" fillId="64" borderId="43" xfId="473" applyFont="1" applyFill="1" applyBorder="1" applyAlignment="1">
      <alignment horizontal="center" vertical="center"/>
      <protection/>
    </xf>
    <xf numFmtId="0" fontId="7" fillId="64" borderId="44" xfId="0" applyFont="1" applyFill="1" applyBorder="1" applyAlignment="1">
      <alignment horizontal="center" vertical="center"/>
    </xf>
    <xf numFmtId="0" fontId="7" fillId="64" borderId="43" xfId="0" applyFont="1" applyFill="1" applyBorder="1" applyAlignment="1" quotePrefix="1">
      <alignment vertical="center" wrapText="1"/>
    </xf>
    <xf numFmtId="0" fontId="7" fillId="64" borderId="43" xfId="0" applyFont="1" applyFill="1" applyBorder="1" applyAlignment="1">
      <alignment horizontal="center" vertical="center"/>
    </xf>
    <xf numFmtId="0" fontId="7" fillId="64" borderId="44" xfId="0" applyFont="1" applyFill="1" applyBorder="1" applyAlignment="1" quotePrefix="1">
      <alignment horizontal="center" vertical="center"/>
    </xf>
    <xf numFmtId="0" fontId="7" fillId="64" borderId="43" xfId="0" applyFont="1" applyFill="1" applyBorder="1" applyAlignment="1">
      <alignment horizontal="left" vertical="center" wrapText="1"/>
    </xf>
    <xf numFmtId="0" fontId="7" fillId="64" borderId="44" xfId="473" applyFont="1" applyFill="1" applyBorder="1" applyAlignment="1">
      <alignment horizontal="center" vertical="center"/>
      <protection/>
    </xf>
    <xf numFmtId="49" fontId="7" fillId="64" borderId="43" xfId="473" applyNumberFormat="1" applyFont="1" applyFill="1" applyBorder="1" applyAlignment="1">
      <alignment horizontal="justify" vertical="center" wrapText="1"/>
      <protection/>
    </xf>
    <xf numFmtId="0" fontId="192" fillId="64" borderId="43" xfId="0" applyFont="1" applyFill="1" applyBorder="1" applyAlignment="1" quotePrefix="1">
      <alignment horizontal="right" vertical="center"/>
    </xf>
    <xf numFmtId="0" fontId="7" fillId="64" borderId="43" xfId="472" applyFont="1" applyFill="1" applyBorder="1" applyAlignment="1">
      <alignment vertical="center" wrapText="1"/>
      <protection/>
    </xf>
    <xf numFmtId="0" fontId="7" fillId="64" borderId="44" xfId="0" applyFont="1" applyFill="1" applyBorder="1" applyAlignment="1">
      <alignment horizontal="center" vertical="center" wrapText="1"/>
    </xf>
    <xf numFmtId="0" fontId="7" fillId="64" borderId="43" xfId="0" applyFont="1" applyFill="1" applyBorder="1" applyAlignment="1">
      <alignment vertical="center" wrapText="1"/>
    </xf>
    <xf numFmtId="0" fontId="7" fillId="64" borderId="43" xfId="0" applyFont="1" applyFill="1" applyBorder="1" applyAlignment="1">
      <alignment horizontal="center" vertical="center" wrapText="1"/>
    </xf>
    <xf numFmtId="167" fontId="7" fillId="64" borderId="43" xfId="0" applyNumberFormat="1" applyFont="1" applyFill="1" applyBorder="1" applyAlignment="1">
      <alignment horizontal="right" vertical="center" wrapText="1"/>
    </xf>
    <xf numFmtId="0" fontId="11" fillId="64" borderId="0" xfId="0" applyFont="1" applyFill="1" applyAlignment="1">
      <alignment/>
    </xf>
    <xf numFmtId="167" fontId="11" fillId="64" borderId="0" xfId="0" applyNumberFormat="1" applyFont="1" applyFill="1" applyAlignment="1">
      <alignment/>
    </xf>
    <xf numFmtId="167" fontId="191" fillId="0" borderId="52" xfId="0" applyNumberFormat="1" applyFont="1" applyBorder="1" applyAlignment="1">
      <alignment horizontal="right" vertical="center" wrapText="1"/>
    </xf>
    <xf numFmtId="3" fontId="0" fillId="0" borderId="0" xfId="0" applyNumberFormat="1" applyAlignment="1">
      <alignment/>
    </xf>
    <xf numFmtId="235" fontId="0" fillId="0" borderId="0" xfId="0" applyNumberFormat="1" applyAlignment="1">
      <alignment/>
    </xf>
    <xf numFmtId="2" fontId="0" fillId="0" borderId="0" xfId="0" applyNumberFormat="1" applyAlignment="1">
      <alignment/>
    </xf>
    <xf numFmtId="0" fontId="0" fillId="0" borderId="55" xfId="0" applyBorder="1" applyAlignment="1">
      <alignment/>
    </xf>
    <xf numFmtId="0" fontId="185" fillId="0" borderId="55" xfId="0" applyFont="1" applyBorder="1" applyAlignment="1">
      <alignment/>
    </xf>
    <xf numFmtId="0" fontId="0" fillId="64" borderId="55" xfId="0" applyFill="1" applyBorder="1" applyAlignment="1">
      <alignment/>
    </xf>
    <xf numFmtId="0" fontId="0" fillId="0" borderId="55" xfId="0" applyFill="1" applyBorder="1" applyAlignment="1">
      <alignment/>
    </xf>
    <xf numFmtId="0" fontId="164" fillId="0" borderId="55" xfId="0" applyFont="1" applyBorder="1" applyAlignment="1">
      <alignment/>
    </xf>
    <xf numFmtId="0" fontId="182" fillId="0" borderId="55" xfId="0" applyFont="1" applyBorder="1" applyAlignment="1">
      <alignment/>
    </xf>
    <xf numFmtId="0" fontId="0" fillId="0" borderId="57" xfId="0" applyBorder="1" applyAlignment="1">
      <alignment/>
    </xf>
    <xf numFmtId="0" fontId="192" fillId="0" borderId="45" xfId="0" applyFont="1" applyBorder="1" applyAlignment="1">
      <alignment vertical="center"/>
    </xf>
    <xf numFmtId="3" fontId="192" fillId="0" borderId="45" xfId="0" applyNumberFormat="1" applyFont="1" applyBorder="1" applyAlignment="1">
      <alignment horizontal="right" vertical="center"/>
    </xf>
    <xf numFmtId="167" fontId="192" fillId="0" borderId="45" xfId="0" applyNumberFormat="1" applyFont="1" applyBorder="1" applyAlignment="1">
      <alignment horizontal="right" vertical="center"/>
    </xf>
    <xf numFmtId="3" fontId="193" fillId="0" borderId="45" xfId="0" applyNumberFormat="1" applyFont="1" applyBorder="1" applyAlignment="1">
      <alignment horizontal="right" vertical="center"/>
    </xf>
    <xf numFmtId="3" fontId="192" fillId="64" borderId="45" xfId="0" applyNumberFormat="1" applyFont="1" applyFill="1" applyBorder="1" applyAlignment="1">
      <alignment horizontal="right" vertical="center"/>
    </xf>
    <xf numFmtId="167" fontId="192" fillId="64" borderId="45" xfId="0" applyNumberFormat="1" applyFont="1" applyFill="1" applyBorder="1" applyAlignment="1">
      <alignment horizontal="right" vertical="center"/>
    </xf>
    <xf numFmtId="167" fontId="192" fillId="0" borderId="45" xfId="0" applyNumberFormat="1" applyFont="1" applyFill="1" applyBorder="1" applyAlignment="1">
      <alignment horizontal="right" vertical="center"/>
    </xf>
    <xf numFmtId="4" fontId="192" fillId="0" borderId="45" xfId="0" applyNumberFormat="1" applyFont="1" applyFill="1" applyBorder="1" applyAlignment="1">
      <alignment horizontal="right" vertical="center"/>
    </xf>
    <xf numFmtId="3" fontId="7" fillId="0" borderId="45" xfId="0" applyNumberFormat="1" applyFont="1" applyBorder="1" applyAlignment="1">
      <alignment horizontal="right" vertical="center"/>
    </xf>
    <xf numFmtId="3" fontId="192" fillId="64" borderId="45" xfId="0" applyNumberFormat="1" applyFont="1" applyFill="1" applyBorder="1" applyAlignment="1" quotePrefix="1">
      <alignment horizontal="right" vertical="center"/>
    </xf>
    <xf numFmtId="3" fontId="192" fillId="0" borderId="48" xfId="0" applyNumberFormat="1" applyFont="1" applyBorder="1" applyAlignment="1">
      <alignment horizontal="right" vertical="center"/>
    </xf>
    <xf numFmtId="3" fontId="191" fillId="0" borderId="45" xfId="0" applyNumberFormat="1" applyFont="1" applyBorder="1" applyAlignment="1">
      <alignment horizontal="right" vertical="center"/>
    </xf>
    <xf numFmtId="0" fontId="188" fillId="0" borderId="55" xfId="0" applyFont="1" applyBorder="1" applyAlignment="1">
      <alignment/>
    </xf>
    <xf numFmtId="0" fontId="187" fillId="0" borderId="55" xfId="0" applyFont="1" applyBorder="1" applyAlignment="1">
      <alignment/>
    </xf>
    <xf numFmtId="0" fontId="189" fillId="0" borderId="55" xfId="0" applyFont="1" applyBorder="1" applyAlignment="1">
      <alignment/>
    </xf>
    <xf numFmtId="167" fontId="188" fillId="0" borderId="55" xfId="0" applyNumberFormat="1" applyFont="1" applyBorder="1" applyAlignment="1">
      <alignment/>
    </xf>
    <xf numFmtId="167" fontId="187" fillId="0" borderId="55" xfId="0" applyNumberFormat="1" applyFont="1" applyBorder="1" applyAlignment="1">
      <alignment/>
    </xf>
    <xf numFmtId="4" fontId="191" fillId="0" borderId="55" xfId="0" applyNumberFormat="1" applyFont="1" applyBorder="1" applyAlignment="1">
      <alignment vertical="center" wrapText="1"/>
    </xf>
    <xf numFmtId="0" fontId="190" fillId="0" borderId="55" xfId="0" applyFont="1" applyBorder="1" applyAlignment="1">
      <alignment/>
    </xf>
    <xf numFmtId="167" fontId="189" fillId="0" borderId="55" xfId="0" applyNumberFormat="1" applyFont="1" applyBorder="1" applyAlignment="1">
      <alignment/>
    </xf>
    <xf numFmtId="0" fontId="11" fillId="64" borderId="55" xfId="0" applyFont="1" applyFill="1" applyBorder="1" applyAlignment="1">
      <alignment/>
    </xf>
    <xf numFmtId="0" fontId="187" fillId="0" borderId="57" xfId="0" applyFont="1" applyBorder="1" applyAlignment="1">
      <alignment/>
    </xf>
    <xf numFmtId="0" fontId="191" fillId="0" borderId="45" xfId="0" applyFont="1" applyBorder="1" applyAlignment="1">
      <alignment vertical="center" wrapText="1"/>
    </xf>
    <xf numFmtId="167" fontId="191" fillId="0" borderId="45" xfId="0" applyNumberFormat="1" applyFont="1" applyBorder="1" applyAlignment="1">
      <alignment horizontal="right" vertical="center" wrapText="1"/>
    </xf>
    <xf numFmtId="167" fontId="192" fillId="0" borderId="45" xfId="0" applyNumberFormat="1" applyFont="1" applyBorder="1" applyAlignment="1">
      <alignment horizontal="right" vertical="center" wrapText="1"/>
    </xf>
    <xf numFmtId="167" fontId="193" fillId="0" borderId="45" xfId="0" applyNumberFormat="1" applyFont="1" applyBorder="1" applyAlignment="1">
      <alignment horizontal="right" vertical="center" wrapText="1"/>
    </xf>
    <xf numFmtId="167" fontId="194" fillId="0" borderId="45" xfId="0" applyNumberFormat="1" applyFont="1" applyBorder="1" applyAlignment="1">
      <alignment horizontal="right" vertical="center" wrapText="1"/>
    </xf>
    <xf numFmtId="167" fontId="7" fillId="64" borderId="45" xfId="0" applyNumberFormat="1" applyFont="1" applyFill="1" applyBorder="1" applyAlignment="1">
      <alignment horizontal="right" vertical="center" wrapText="1"/>
    </xf>
    <xf numFmtId="167" fontId="192" fillId="0" borderId="45" xfId="0" applyNumberFormat="1" applyFont="1" applyFill="1" applyBorder="1" applyAlignment="1">
      <alignment vertical="center" wrapText="1"/>
    </xf>
    <xf numFmtId="167" fontId="192" fillId="0" borderId="48" xfId="0" applyNumberFormat="1" applyFont="1" applyBorder="1" applyAlignment="1">
      <alignment horizontal="right" vertical="center" wrapText="1"/>
    </xf>
    <xf numFmtId="3" fontId="7" fillId="64" borderId="43" xfId="0" applyNumberFormat="1" applyFont="1" applyFill="1" applyBorder="1" applyAlignment="1">
      <alignment horizontal="center" vertical="center" wrapText="1"/>
    </xf>
    <xf numFmtId="3" fontId="7" fillId="64" borderId="43" xfId="0" applyNumberFormat="1" applyFont="1" applyFill="1" applyBorder="1" applyAlignment="1">
      <alignment horizontal="right" vertical="center" wrapText="1"/>
    </xf>
    <xf numFmtId="167" fontId="7" fillId="0" borderId="43" xfId="0" applyNumberFormat="1" applyFont="1" applyFill="1" applyBorder="1" applyAlignment="1">
      <alignment vertical="center" wrapText="1"/>
    </xf>
    <xf numFmtId="167" fontId="7" fillId="0" borderId="43" xfId="0" applyNumberFormat="1" applyFont="1" applyBorder="1" applyAlignment="1">
      <alignment horizontal="right" vertical="center" wrapText="1"/>
    </xf>
    <xf numFmtId="0" fontId="11" fillId="64" borderId="55" xfId="0" applyFont="1" applyFill="1" applyBorder="1" applyAlignment="1">
      <alignment vertical="center" wrapText="1"/>
    </xf>
    <xf numFmtId="0" fontId="192" fillId="0" borderId="43" xfId="0" applyFont="1" applyBorder="1" applyAlignment="1">
      <alignment horizontal="center" vertical="center" wrapText="1"/>
    </xf>
    <xf numFmtId="235" fontId="193" fillId="0" borderId="43" xfId="0" applyNumberFormat="1" applyFont="1" applyBorder="1" applyAlignment="1">
      <alignment horizontal="right" vertical="center" wrapText="1"/>
    </xf>
    <xf numFmtId="3" fontId="190" fillId="0" borderId="43" xfId="0" applyNumberFormat="1" applyFont="1" applyBorder="1" applyAlignment="1">
      <alignment horizontal="right" vertical="center" wrapText="1"/>
    </xf>
    <xf numFmtId="167" fontId="190" fillId="0" borderId="43" xfId="0" applyNumberFormat="1" applyFont="1" applyBorder="1" applyAlignment="1">
      <alignment horizontal="right" vertical="center" wrapText="1"/>
    </xf>
    <xf numFmtId="167" fontId="187" fillId="0" borderId="43" xfId="0" applyNumberFormat="1" applyFont="1" applyBorder="1" applyAlignment="1">
      <alignment horizontal="right" vertical="center" wrapText="1"/>
    </xf>
    <xf numFmtId="4" fontId="190" fillId="0" borderId="43" xfId="0" applyNumberFormat="1" applyFont="1" applyBorder="1" applyAlignment="1">
      <alignment horizontal="right" vertical="center" wrapText="1"/>
    </xf>
    <xf numFmtId="236" fontId="189" fillId="0" borderId="43" xfId="0" applyNumberFormat="1" applyFont="1" applyBorder="1" applyAlignment="1">
      <alignment horizontal="right" vertical="center" wrapText="1"/>
    </xf>
    <xf numFmtId="167" fontId="189" fillId="0" borderId="43" xfId="0" applyNumberFormat="1" applyFont="1" applyBorder="1" applyAlignment="1">
      <alignment horizontal="right" vertical="center" wrapText="1"/>
    </xf>
    <xf numFmtId="0" fontId="5" fillId="0" borderId="5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27" fillId="64" borderId="0" xfId="0" applyFont="1" applyFill="1" applyBorder="1" applyAlignment="1">
      <alignment horizontal="center"/>
    </xf>
    <xf numFmtId="0" fontId="130" fillId="42" borderId="0" xfId="0" applyFont="1" applyFill="1" applyAlignment="1">
      <alignment horizontal="center"/>
    </xf>
    <xf numFmtId="0" fontId="132" fillId="42" borderId="0" xfId="0" applyFont="1" applyFill="1" applyAlignment="1">
      <alignment horizontal="right"/>
    </xf>
    <xf numFmtId="0" fontId="132" fillId="42" borderId="0" xfId="0" applyFont="1" applyFill="1" applyAlignment="1">
      <alignment horizontal="center"/>
    </xf>
    <xf numFmtId="0" fontId="139" fillId="0" borderId="58" xfId="0" applyFont="1" applyFill="1" applyBorder="1" applyAlignment="1">
      <alignment horizontal="center" vertical="center" wrapText="1"/>
    </xf>
    <xf numFmtId="0" fontId="139"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29" fillId="0" borderId="0" xfId="0" applyFont="1" applyAlignment="1">
      <alignment horizontal="center" vertical="center" wrapText="1"/>
    </xf>
    <xf numFmtId="0" fontId="139" fillId="0" borderId="61" xfId="0" applyFont="1" applyBorder="1" applyAlignment="1">
      <alignment horizontal="center" vertical="center" wrapText="1"/>
    </xf>
    <xf numFmtId="0" fontId="139" fillId="0" borderId="58" xfId="0" applyFont="1" applyBorder="1" applyAlignment="1">
      <alignment horizontal="center" vertical="center" wrapText="1"/>
    </xf>
    <xf numFmtId="0" fontId="139" fillId="0" borderId="59" xfId="0" applyFont="1" applyBorder="1" applyAlignment="1">
      <alignment horizontal="center" vertical="center" wrapText="1"/>
    </xf>
    <xf numFmtId="0" fontId="132" fillId="0" borderId="0" xfId="0" applyFont="1" applyAlignment="1">
      <alignment horizontal="right"/>
    </xf>
    <xf numFmtId="0" fontId="5" fillId="42" borderId="58" xfId="0" applyFont="1" applyFill="1" applyBorder="1" applyAlignment="1">
      <alignment horizontal="center" vertical="center" wrapText="1"/>
    </xf>
    <xf numFmtId="0" fontId="5" fillId="42" borderId="59" xfId="0" applyFont="1" applyFill="1" applyBorder="1" applyAlignment="1">
      <alignment horizontal="center" vertical="center" wrapText="1"/>
    </xf>
    <xf numFmtId="0" fontId="13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2" fillId="0" borderId="0" xfId="0" applyFont="1" applyAlignment="1">
      <alignment horizontal="center"/>
    </xf>
    <xf numFmtId="0" fontId="9" fillId="0" borderId="0" xfId="460" applyFont="1" applyFill="1" applyBorder="1" applyAlignment="1">
      <alignment horizontal="center" vertical="center" wrapText="1"/>
      <protection/>
    </xf>
    <xf numFmtId="0" fontId="9" fillId="0" borderId="0" xfId="476" applyFont="1" applyFill="1" applyBorder="1" applyAlignment="1">
      <alignment horizontal="right"/>
      <protection/>
    </xf>
    <xf numFmtId="0" fontId="127" fillId="0" borderId="0" xfId="0" applyFont="1" applyFill="1" applyBorder="1" applyAlignment="1">
      <alignment horizontal="center"/>
    </xf>
    <xf numFmtId="2" fontId="9" fillId="0" borderId="60" xfId="476" applyNumberFormat="1" applyFont="1" applyFill="1" applyBorder="1" applyAlignment="1">
      <alignment horizontal="center" vertical="center" wrapText="1"/>
      <protection/>
    </xf>
    <xf numFmtId="2" fontId="9" fillId="0" borderId="44" xfId="476" applyNumberFormat="1" applyFont="1" applyFill="1" applyBorder="1" applyAlignment="1">
      <alignment horizontal="center" vertical="center" wrapText="1"/>
      <protection/>
    </xf>
    <xf numFmtId="2" fontId="9" fillId="0" borderId="58" xfId="476" applyNumberFormat="1" applyFont="1" applyFill="1" applyBorder="1" applyAlignment="1">
      <alignment horizontal="center" vertical="center" wrapText="1"/>
      <protection/>
    </xf>
    <xf numFmtId="2" fontId="9" fillId="0" borderId="43" xfId="476" applyNumberFormat="1" applyFont="1" applyFill="1" applyBorder="1" applyAlignment="1">
      <alignment horizontal="center" vertical="center" wrapText="1"/>
      <protection/>
    </xf>
    <xf numFmtId="2" fontId="9" fillId="0" borderId="59" xfId="476" applyNumberFormat="1" applyFont="1" applyFill="1" applyBorder="1" applyAlignment="1">
      <alignment horizontal="center" vertical="center" wrapText="1"/>
      <protection/>
    </xf>
    <xf numFmtId="2" fontId="11" fillId="0" borderId="45" xfId="0" applyNumberFormat="1" applyFont="1" applyFill="1" applyBorder="1" applyAlignment="1">
      <alignment/>
    </xf>
    <xf numFmtId="0" fontId="4" fillId="0" borderId="0" xfId="0" applyFont="1" applyFill="1" applyAlignment="1">
      <alignment horizontal="center" vertical="center"/>
    </xf>
    <xf numFmtId="0" fontId="9" fillId="0" borderId="0" xfId="0" applyFont="1" applyFill="1" applyAlignment="1">
      <alignment horizontal="center" vertical="center" wrapText="1"/>
    </xf>
    <xf numFmtId="0" fontId="127" fillId="42" borderId="62" xfId="0" applyFont="1" applyFill="1" applyBorder="1" applyAlignment="1">
      <alignment horizontal="center"/>
    </xf>
    <xf numFmtId="0" fontId="186" fillId="0" borderId="58" xfId="0" applyFont="1" applyBorder="1" applyAlignment="1">
      <alignment horizontal="center" vertical="center" wrapText="1"/>
    </xf>
    <xf numFmtId="0" fontId="186" fillId="0" borderId="59" xfId="0" applyFont="1" applyBorder="1" applyAlignment="1">
      <alignment horizontal="center" vertical="center" wrapText="1"/>
    </xf>
    <xf numFmtId="0" fontId="5" fillId="0" borderId="58"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44" xfId="0" applyFont="1" applyFill="1" applyBorder="1" applyAlignment="1">
      <alignment horizontal="center" vertical="center"/>
    </xf>
    <xf numFmtId="0" fontId="127" fillId="0" borderId="0" xfId="0" applyFont="1" applyFill="1" applyAlignment="1">
      <alignment horizontal="center" vertical="center" wrapText="1"/>
    </xf>
    <xf numFmtId="0" fontId="5" fillId="0" borderId="6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9" xfId="0" applyFont="1" applyBorder="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13" fillId="0" borderId="0" xfId="0" applyFont="1" applyBorder="1" applyAlignment="1">
      <alignment horizontal="right" vertical="center" wrapText="1"/>
    </xf>
    <xf numFmtId="0" fontId="0" fillId="64" borderId="55" xfId="0" applyFill="1" applyBorder="1" applyAlignment="1">
      <alignment horizontal="center"/>
    </xf>
    <xf numFmtId="0" fontId="0" fillId="64" borderId="55" xfId="0"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92" fillId="0" borderId="43" xfId="0" applyFont="1" applyBorder="1" applyAlignment="1">
      <alignment horizontal="center" vertical="center" wrapText="1"/>
    </xf>
    <xf numFmtId="0" fontId="192" fillId="0" borderId="43" xfId="0" applyFont="1" applyBorder="1" applyAlignment="1">
      <alignment horizontal="center" vertical="center"/>
    </xf>
    <xf numFmtId="0" fontId="192" fillId="0" borderId="43" xfId="0" applyFont="1" applyBorder="1" applyAlignment="1" quotePrefix="1">
      <alignment horizontal="center" vertical="center"/>
    </xf>
    <xf numFmtId="0" fontId="146" fillId="0" borderId="63" xfId="0" applyFont="1" applyBorder="1" applyAlignment="1">
      <alignment horizontal="center" vertical="center" wrapText="1"/>
    </xf>
    <xf numFmtId="0" fontId="146" fillId="0" borderId="64" xfId="0" applyFont="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4" fillId="0" borderId="6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188" fillId="0" borderId="63" xfId="0" applyFont="1" applyBorder="1" applyAlignment="1">
      <alignment horizontal="center" vertical="center" wrapText="1"/>
    </xf>
    <xf numFmtId="0" fontId="188" fillId="0" borderId="64" xfId="0" applyFont="1" applyBorder="1" applyAlignment="1">
      <alignment horizontal="center" vertical="center" wrapText="1"/>
    </xf>
    <xf numFmtId="0" fontId="187" fillId="0" borderId="55" xfId="0" applyFont="1" applyFill="1" applyBorder="1" applyAlignment="1">
      <alignment horizontal="center"/>
    </xf>
    <xf numFmtId="0" fontId="188" fillId="0" borderId="0" xfId="0" applyFont="1" applyAlignment="1">
      <alignment horizontal="center" vertical="center" wrapText="1"/>
    </xf>
    <xf numFmtId="0" fontId="189" fillId="0" borderId="0" xfId="0" applyFont="1" applyAlignment="1">
      <alignment horizontal="center" vertical="center" wrapText="1"/>
    </xf>
    <xf numFmtId="0" fontId="187" fillId="0" borderId="43" xfId="0" applyFont="1" applyFill="1" applyBorder="1" applyAlignment="1">
      <alignment horizontal="center" vertical="center"/>
    </xf>
    <xf numFmtId="0" fontId="188" fillId="0" borderId="0" xfId="0" applyFont="1" applyAlignment="1">
      <alignment horizontal="center"/>
    </xf>
    <xf numFmtId="0" fontId="189" fillId="0" borderId="0" xfId="0" applyFont="1" applyAlignment="1">
      <alignment horizontal="center"/>
    </xf>
  </cellXfs>
  <cellStyles count="671">
    <cellStyle name="Normal" xfId="0"/>
    <cellStyle name="          &#13;&#10;shell=progman.exe&#13;&#10;m" xfId="15"/>
    <cellStyle name="." xfId="16"/>
    <cellStyle name="??" xfId="17"/>
    <cellStyle name="?? [0.00]_ Att. 1- Cover" xfId="18"/>
    <cellStyle name="?? [0]" xfId="19"/>
    <cellStyle name="?_x001D_??%U©÷u&amp;H©÷9_x0008_? s&#10;_x0007__x0001__x0001_" xfId="20"/>
    <cellStyle name="?_x001D_??%U©÷u&amp;H©÷9_x0008_? s&#10;_x0007__x0001__x0001_?_x0002_???????????????_x0001_(_x0002_u&#13;?????_x001F_????????_x0007_????????????????!???????????           ?????           ?????????&#13;C:\WINDOWS\country.sys&#13;??????????????????????????????????????????????????????????????????????????????????????????????" xfId="21"/>
    <cellStyle name="???? [0.00]_      " xfId="22"/>
    <cellStyle name="????_      " xfId="23"/>
    <cellStyle name="???[0]_?? DI" xfId="24"/>
    <cellStyle name="???_?? DI" xfId="25"/>
    <cellStyle name="??[0]_BRE" xfId="26"/>
    <cellStyle name="??_      " xfId="27"/>
    <cellStyle name="??A? [0]_ÿÿÿÿÿÿ_1_¢¬???¢â? " xfId="28"/>
    <cellStyle name="??A?_ÿÿÿÿÿÿ_1_¢¬???¢â? " xfId="29"/>
    <cellStyle name="?¡±¢¥?_?¨ù??¢´¢¥_¢¬???¢â? " xfId="30"/>
    <cellStyle name="?ðÇ%U?&amp;H?_x0008_?s&#10;_x0007__x0001__x0001_" xfId="31"/>
    <cellStyle name="?ðÇ%U?&amp;H?_x0008_?s&#10;_x0007__x0001__x0001_?_x0002_ÿÿÿÿÿÿÿÿÿÿÿÿÿÿÿ_x0001_(_x0002_?€????ÿÿÿÿ????_x0007_??????????????????????????           ?????           ?????????&#13;C:\WINDOWS\country.sys&#13;??????????????????????????????????????????????????????????????????????????????????????????????" xfId="32"/>
    <cellStyle name="?I?I?_x0001_??j?_x0008_?h_x0001__x000C__x000C__x0002__x0002__x000C_!Comma [0]_Chi phÝ kh¸c_B¶ng 1 (2)?G_x001D_Comma [0]_Chi phÝ kh¸c_B¶ng 2?G$Comma [0]_Ch" xfId="33"/>
    <cellStyle name="_Bang Chi tieu (2)" xfId="34"/>
    <cellStyle name="_Bang Chi tieu (2)?_x001C_Comma [0]_Chi phÝ kh¸c_Book1?!Comma [0]_Chi phÝ kh¸c_Liªn ChiÓu?b_x001E_Comma [0]_Chi" xfId="35"/>
    <cellStyle name="_TMDTT1-07L4suacauL3T5-07" xfId="36"/>
    <cellStyle name="~1" xfId="37"/>
    <cellStyle name="~1?&#13;Comma [0]_I.1?b&#13;Comma [0]_I.3?b_x000C_Comma [0]_II?_x0012_Comma [0]_larou" xfId="38"/>
    <cellStyle name="’Ê‰Ý [0.00]_laroux" xfId="39"/>
    <cellStyle name="’Ê‰Ý_laroux" xfId="40"/>
    <cellStyle name="•W€_¯–ì" xfId="41"/>
    <cellStyle name="•W_’·Šú‰p•¶" xfId="42"/>
    <cellStyle name="W_STDFOR" xfId="43"/>
    <cellStyle name="1" xfId="44"/>
    <cellStyle name="1?b&#13;Comma [0]_CPK?b_x0011_Comma [0]_CP" xfId="45"/>
    <cellStyle name="1_7 noi 48 goi C5 9 vi na" xfId="46"/>
    <cellStyle name="1_BC-tuchu-07DRVdinh" xfId="47"/>
    <cellStyle name="1_bienbao" xfId="48"/>
    <cellStyle name="1_Book1" xfId="49"/>
    <cellStyle name="1_Book1_1" xfId="50"/>
    <cellStyle name="1_Book1_1_diemthiSP" xfId="51"/>
    <cellStyle name="1_Book1_1_KH phat trien KTXH den 2010" xfId="52"/>
    <cellStyle name="1_Book1_1_Mau bao cao von XDCB 2009 (so XD )1" xfId="53"/>
    <cellStyle name="1_Book1_2" xfId="54"/>
    <cellStyle name="1_Book1_bangmau" xfId="55"/>
    <cellStyle name="1_Book1_bienbao" xfId="56"/>
    <cellStyle name="1_Book1_Book1" xfId="57"/>
    <cellStyle name="1_Book1_Cong ty DDK - goi 4" xfId="58"/>
    <cellStyle name="1_Book1_Copy of DT hc T1-07" xfId="59"/>
    <cellStyle name="1_Book1_diemthiSP" xfId="60"/>
    <cellStyle name="1_Book1_dtkpkl3" xfId="61"/>
    <cellStyle name="1_Book1_kl" xfId="62"/>
    <cellStyle name="1_Book1_KLdN32thep2" xfId="63"/>
    <cellStyle name="1_Book1_KL-DSO4" xfId="64"/>
    <cellStyle name="1_Book1_tonghop" xfId="65"/>
    <cellStyle name="1_Cau thuy dien Ban La (Cu Anh)" xfId="66"/>
    <cellStyle name="1_Cau thuy dien Ban La (Cu Anh)_diemthiSP" xfId="67"/>
    <cellStyle name="1_Cong ty DDK - goi 4" xfId="68"/>
    <cellStyle name="1_Copy of DT hc T1-07" xfId="69"/>
    <cellStyle name="1_dangop" xfId="70"/>
    <cellStyle name="1_DGKSDakLakvan2" xfId="71"/>
    <cellStyle name="1_diemthiSP" xfId="72"/>
    <cellStyle name="1_Don gia Du thau ( XL19)" xfId="73"/>
    <cellStyle name="1_dt-bvtc-2 sua T7-07" xfId="74"/>
    <cellStyle name="1_Dtdchinh2397" xfId="75"/>
    <cellStyle name="1_Dtdchinh2397_Copy of DT hc T1-07" xfId="76"/>
    <cellStyle name="1_Dtdchinh2397_diemthiSP" xfId="77"/>
    <cellStyle name="1_DTKS&amp;camcoc12-6" xfId="78"/>
    <cellStyle name="1_DTKScamcocMT-Cantho" xfId="79"/>
    <cellStyle name="1_DTKSk47-k88ngay12-6" xfId="80"/>
    <cellStyle name="1_DTKSTK MT-CT" xfId="81"/>
    <cellStyle name="1_DToan" xfId="82"/>
    <cellStyle name="1_DT-TTRAHECO" xfId="83"/>
    <cellStyle name="1_Du thau" xfId="84"/>
    <cellStyle name="1_Du toan 558 (Km17+508.12 - Km 22)" xfId="85"/>
    <cellStyle name="1_Du toan 558 (Km17+508.12 - Km 22)_diemthiSP" xfId="86"/>
    <cellStyle name="1_DUYTAN-QL24-tongmucDTphuong2" xfId="87"/>
    <cellStyle name="1_DUYTAN-QL24-tongmucDTphuong3" xfId="88"/>
    <cellStyle name="1_Gia_VLQL48_duyet " xfId="89"/>
    <cellStyle name="1_Gia_VLQL48_duyet _diemthiSP" xfId="90"/>
    <cellStyle name="1_GIA-DUTHAUsuaNS" xfId="91"/>
    <cellStyle name="1_Kl04" xfId="92"/>
    <cellStyle name="1_Kl07" xfId="93"/>
    <cellStyle name="1_KLdN32thep2" xfId="94"/>
    <cellStyle name="1_KLdN36" xfId="95"/>
    <cellStyle name="1_KL-DSO4" xfId="96"/>
    <cellStyle name="1_klnhanh" xfId="97"/>
    <cellStyle name="1_KlQdinhduyet" xfId="98"/>
    <cellStyle name="1_KlQdinhduyet_diemthiSP" xfId="99"/>
    <cellStyle name="1_kluong1tt" xfId="100"/>
    <cellStyle name="1_kpklthkl(thd-so3)" xfId="101"/>
    <cellStyle name="1_NTHOC" xfId="102"/>
    <cellStyle name="1_THKLN£N" xfId="103"/>
    <cellStyle name="1_Workbook" xfId="104"/>
    <cellStyle name="1_ÿÿÿÿÿ" xfId="105"/>
    <cellStyle name="1_ÿÿÿÿÿ_diemthiSP" xfId="106"/>
    <cellStyle name="15" xfId="107"/>
    <cellStyle name="¹éºÐÀ²_±âÅ¸" xfId="108"/>
    <cellStyle name="2" xfId="109"/>
    <cellStyle name="2_7 noi 48 goi C5 9 vi na" xfId="110"/>
    <cellStyle name="2_bangmau" xfId="111"/>
    <cellStyle name="2_bienbao" xfId="112"/>
    <cellStyle name="2_Book1" xfId="113"/>
    <cellStyle name="2_Book1_1" xfId="114"/>
    <cellStyle name="2_Book1_1_diemthiSP" xfId="115"/>
    <cellStyle name="2_Book1_Book1" xfId="116"/>
    <cellStyle name="2_Book1_Copy of DT hc T1-07" xfId="117"/>
    <cellStyle name="2_Book1_diemthiSP" xfId="118"/>
    <cellStyle name="2_Book1_gia thau  goi 2-Lien Danh tan hung" xfId="119"/>
    <cellStyle name="2_Book1_khoi luong phan chia chinh thuc goi 2" xfId="120"/>
    <cellStyle name="2_Cau thuy dien Ban La (Cu Anh)" xfId="121"/>
    <cellStyle name="2_Cau thuy dien Ban La (Cu Anh)_diemthiSP" xfId="122"/>
    <cellStyle name="2_Dtdchinh2397" xfId="123"/>
    <cellStyle name="2_Dtdchinh2397_Copy of DT hc T1-07" xfId="124"/>
    <cellStyle name="2_Dtdchinh2397_diemthiSP" xfId="125"/>
    <cellStyle name="2_dtkpkl3" xfId="126"/>
    <cellStyle name="2_DTKScamcocMT-Cantho" xfId="127"/>
    <cellStyle name="2_DTKSTK MT-CT" xfId="128"/>
    <cellStyle name="2_Du toan 558 (Km17+508.12 - Km 22)" xfId="129"/>
    <cellStyle name="2_Du toan 558 (Km17+508.12 - Km 22)_diemthiSP" xfId="130"/>
    <cellStyle name="2_Gia_VLQL48_duyet " xfId="131"/>
    <cellStyle name="2_Gia_VLQL48_duyet _diemthiSP" xfId="132"/>
    <cellStyle name="2_kl" xfId="133"/>
    <cellStyle name="2_KLdN32thep2" xfId="134"/>
    <cellStyle name="2_KL-DSO4" xfId="135"/>
    <cellStyle name="2_KlQdinhduyet" xfId="136"/>
    <cellStyle name="2_KlQdinhduyet_diemthiSP" xfId="137"/>
    <cellStyle name="2_NTHOC" xfId="138"/>
    <cellStyle name="2_tonghop" xfId="139"/>
    <cellStyle name="2_ÿÿÿÿÿ" xfId="140"/>
    <cellStyle name="2_ÿÿÿÿÿ_diemthiSP" xfId="141"/>
    <cellStyle name="20% - Accent1" xfId="142"/>
    <cellStyle name="20% - Accent1 2" xfId="143"/>
    <cellStyle name="20% - Accent2" xfId="144"/>
    <cellStyle name="20% - Accent2 2" xfId="145"/>
    <cellStyle name="20% - Accent3" xfId="146"/>
    <cellStyle name="20% - Accent3 2" xfId="147"/>
    <cellStyle name="20% - Accent4" xfId="148"/>
    <cellStyle name="20% - Accent4 2" xfId="149"/>
    <cellStyle name="20% - Accent5" xfId="150"/>
    <cellStyle name="20% - Accent5 2" xfId="151"/>
    <cellStyle name="20% - Accent6" xfId="152"/>
    <cellStyle name="20% - Accent6 2" xfId="153"/>
    <cellStyle name="3" xfId="154"/>
    <cellStyle name="3_7 noi 48 goi C5 9 vi na" xfId="155"/>
    <cellStyle name="3_Book1" xfId="156"/>
    <cellStyle name="3_Book1_1" xfId="157"/>
    <cellStyle name="3_Book1_1_diemthiSP" xfId="158"/>
    <cellStyle name="3_Book1_Book1" xfId="159"/>
    <cellStyle name="3_Book1_Copy of DT hc T1-07" xfId="160"/>
    <cellStyle name="3_Book1_diemthiSP" xfId="161"/>
    <cellStyle name="3_Book1_gia thau  goi 2-Lien Danh tan hung" xfId="162"/>
    <cellStyle name="3_Book1_khoi luong phan chia chinh thuc goi 2" xfId="163"/>
    <cellStyle name="3_Cau thuy dien Ban La (Cu Anh)" xfId="164"/>
    <cellStyle name="3_Cau thuy dien Ban La (Cu Anh)_diemthiSP" xfId="165"/>
    <cellStyle name="3_Dtdchinh2397" xfId="166"/>
    <cellStyle name="3_Dtdchinh2397_Copy of DT hc T1-07" xfId="167"/>
    <cellStyle name="3_Dtdchinh2397_diemthiSP" xfId="168"/>
    <cellStyle name="3_DTKScamcocMT-Cantho" xfId="169"/>
    <cellStyle name="3_DTKSTK MT-CT" xfId="170"/>
    <cellStyle name="3_Du toan 558 (Km17+508.12 - Km 22)" xfId="171"/>
    <cellStyle name="3_Du toan 558 (Km17+508.12 - Km 22)_diemthiSP" xfId="172"/>
    <cellStyle name="3_Gia_VLQL48_duyet " xfId="173"/>
    <cellStyle name="3_Gia_VLQL48_duyet _diemthiSP" xfId="174"/>
    <cellStyle name="3_KlQdinhduyet" xfId="175"/>
    <cellStyle name="3_KlQdinhduyet_diemthiSP" xfId="176"/>
    <cellStyle name="3_ÿÿÿÿÿ" xfId="177"/>
    <cellStyle name="3_ÿÿÿÿÿ_diemthiSP" xfId="178"/>
    <cellStyle name="4" xfId="179"/>
    <cellStyle name="4_7 noi 48 goi C5 9 vi na" xfId="180"/>
    <cellStyle name="4_Book1" xfId="181"/>
    <cellStyle name="4_Book1_1" xfId="182"/>
    <cellStyle name="4_Cau thuy dien Ban La (Cu Anh)" xfId="183"/>
    <cellStyle name="4_Dtdchinh2397" xfId="184"/>
    <cellStyle name="4_Du toan 558 (Km17+508.12 - Km 22)" xfId="185"/>
    <cellStyle name="4_Gia_VLQL48_duyet " xfId="186"/>
    <cellStyle name="4_KlQdinhduyet" xfId="187"/>
    <cellStyle name="4_ÿÿÿÿÿ" xfId="188"/>
    <cellStyle name="40% - Accent1" xfId="189"/>
    <cellStyle name="40% - Accent1 2" xfId="190"/>
    <cellStyle name="40% - Accent2" xfId="191"/>
    <cellStyle name="40% - Accent2 2" xfId="192"/>
    <cellStyle name="40% - Accent3" xfId="193"/>
    <cellStyle name="40% - Accent3 2" xfId="194"/>
    <cellStyle name="40% - Accent4" xfId="195"/>
    <cellStyle name="40% - Accent4 2" xfId="196"/>
    <cellStyle name="40% - Accent5" xfId="197"/>
    <cellStyle name="40% - Accent5 2" xfId="198"/>
    <cellStyle name="40% - Accent6" xfId="199"/>
    <cellStyle name="40% - Accent6 2" xfId="200"/>
    <cellStyle name="6" xfId="201"/>
    <cellStyle name="6???_x0002_¯ög6hÅ‡6???_x0002_¹?ß_x0008_,Ñ‡6???_x0002_…#×&gt;Ò ‡6???_x0002_é_x0007_ß_x0008__x001C__x000B__x001E_?????&#10;?_x0001_???????_x0014_?_x0001_???????_x001E_?fB_x000F_c????_x0018_I¿_x0008_v_x0010_‡6Ö_x0002_Ÿ6????ía??_x0012_c??????????????_x0001_?????????_x0001_?_x0001_?_x0001_?" xfId="202"/>
    <cellStyle name="6???_x0002_¯ög6hÅ‡6???_x0002_¹?ß_x0008_,Ñ‡6???_x0002_…#×&gt;Ò ‡6???_x0002_é_x0007_ß_x0008__x001C__x000B__x001E_?????&#10;?_x0001_???????_x0014_?_x0001_???????_x001E_?fB_x000F_c????_x0018_I¿_x0008_v_x0010_‡6Ö_x0002_Ÿ6????_x0015_l??Õm??????????????_x0001_?????????_x0001_?_x0001_?_x0001_?" xfId="203"/>
    <cellStyle name="60% - Accent1" xfId="204"/>
    <cellStyle name="60% - Accent1 2" xfId="205"/>
    <cellStyle name="60% - Accent2" xfId="206"/>
    <cellStyle name="60% - Accent2 2" xfId="207"/>
    <cellStyle name="60% - Accent3" xfId="208"/>
    <cellStyle name="60% - Accent3 2" xfId="209"/>
    <cellStyle name="60% - Accent4" xfId="210"/>
    <cellStyle name="60% - Accent4 2" xfId="211"/>
    <cellStyle name="60% - Accent5" xfId="212"/>
    <cellStyle name="60% - Accent5 2" xfId="213"/>
    <cellStyle name="60% - Accent6" xfId="214"/>
    <cellStyle name="60% - Accent6 2"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ÅëÈ­ [0]_¿ì¹°Åë" xfId="228"/>
    <cellStyle name="AeE­ [0]_INQUIRY ¿?¾÷AßAø " xfId="229"/>
    <cellStyle name="ÅëÈ­ [0]_laroux" xfId="230"/>
    <cellStyle name="ÅëÈ­_¿ì¹°Åë" xfId="231"/>
    <cellStyle name="AeE­_INQUIRY ¿?¾÷AßAø " xfId="232"/>
    <cellStyle name="ÅëÈ­_laroux" xfId="233"/>
    <cellStyle name="args.style" xfId="234"/>
    <cellStyle name="ÄÞ¸¶ [0]_¿ì¹°Åë" xfId="235"/>
    <cellStyle name="AÞ¸¶ [0]_INQUIRY ¿?¾÷AßAø " xfId="236"/>
    <cellStyle name="ÄÞ¸¶ [0]_L601CPT" xfId="237"/>
    <cellStyle name="ÄÞ¸¶_¿ì¹°Åë" xfId="238"/>
    <cellStyle name="AÞ¸¶_INQUIRY ¿?¾÷AßAø " xfId="239"/>
    <cellStyle name="ÄÞ¸¶_L601CPT" xfId="240"/>
    <cellStyle name="Bad" xfId="241"/>
    <cellStyle name="Bad 2" xfId="242"/>
    <cellStyle name="Body" xfId="243"/>
    <cellStyle name="C?AØ_¿?¾÷CoE² " xfId="244"/>
    <cellStyle name="Ç¥ÁØ_#2(M17)_1" xfId="245"/>
    <cellStyle name="C￥AØ_¿μ¾÷CoE² " xfId="246"/>
    <cellStyle name="Ç¥ÁØ_±³°¢¼ö·®" xfId="247"/>
    <cellStyle name="C￥AØ_Sheet1_¿μ¾÷CoE² " xfId="248"/>
    <cellStyle name="Calc Currency (0)" xfId="249"/>
    <cellStyle name="Calc Currency (2)" xfId="250"/>
    <cellStyle name="Calc Percent (0)" xfId="251"/>
    <cellStyle name="Calc Percent (1)" xfId="252"/>
    <cellStyle name="Calc Percent (2)" xfId="253"/>
    <cellStyle name="Calc Units (0)" xfId="254"/>
    <cellStyle name="Calc Units (1)" xfId="255"/>
    <cellStyle name="Calc Units (2)" xfId="256"/>
    <cellStyle name="Calculation" xfId="257"/>
    <cellStyle name="Calculation 2" xfId="258"/>
    <cellStyle name="category" xfId="259"/>
    <cellStyle name="Check Cell" xfId="260"/>
    <cellStyle name="Check Cell 2" xfId="261"/>
    <cellStyle name="Chi phÝ kh¸c_Book1" xfId="262"/>
    <cellStyle name="CHUONG" xfId="263"/>
    <cellStyle name="Comma" xfId="264"/>
    <cellStyle name="Comma  - Style1" xfId="265"/>
    <cellStyle name="Comma  - Style2" xfId="266"/>
    <cellStyle name="Comma  - Style3" xfId="267"/>
    <cellStyle name="Comma  - Style4" xfId="268"/>
    <cellStyle name="Comma  - Style5" xfId="269"/>
    <cellStyle name="Comma  - Style6" xfId="270"/>
    <cellStyle name="Comma  - Style7" xfId="271"/>
    <cellStyle name="Comma  - Style8" xfId="272"/>
    <cellStyle name="Comma [0]" xfId="273"/>
    <cellStyle name="Comma [0] 11" xfId="274"/>
    <cellStyle name="Comma [00]" xfId="275"/>
    <cellStyle name="Comma 10 4" xfId="276"/>
    <cellStyle name="Comma 13" xfId="277"/>
    <cellStyle name="Comma 2" xfId="278"/>
    <cellStyle name="Comma 20" xfId="279"/>
    <cellStyle name="Comma 3" xfId="280"/>
    <cellStyle name="Comma 6 2 2" xfId="281"/>
    <cellStyle name="comma zerodec" xfId="282"/>
    <cellStyle name="Comma_UOC KQ 2014" xfId="283"/>
    <cellStyle name="Comma0" xfId="284"/>
    <cellStyle name="Copied" xfId="285"/>
    <cellStyle name="Currency" xfId="286"/>
    <cellStyle name="Currency [0]" xfId="287"/>
    <cellStyle name="Currency [00]" xfId="288"/>
    <cellStyle name="Currency0" xfId="289"/>
    <cellStyle name="Currency1" xfId="290"/>
    <cellStyle name="Date" xfId="291"/>
    <cellStyle name="Date Short" xfId="292"/>
    <cellStyle name="Date_DTKScamcocMT-Cantho" xfId="293"/>
    <cellStyle name="DELTA" xfId="294"/>
    <cellStyle name="Dezimal [0]_68574_Materialbedarfsliste" xfId="295"/>
    <cellStyle name="Dezimal_68574_Materialbedarfsliste" xfId="296"/>
    <cellStyle name="Dollar (zero dec)" xfId="297"/>
    <cellStyle name="DuToanBXD" xfId="298"/>
    <cellStyle name="Dziesi?tny [0]_Invoices2001Slovakia" xfId="299"/>
    <cellStyle name="Dziesi?tny_Invoices2001Slovakia" xfId="300"/>
    <cellStyle name="Dziesietny [0]_Invoices2001Slovakia" xfId="301"/>
    <cellStyle name="Dziesiętny [0]_Invoices2001Slovakia" xfId="302"/>
    <cellStyle name="Dziesietny [0]_Invoices2001Slovakia_Book1" xfId="303"/>
    <cellStyle name="Dziesiętny [0]_Invoices2001Slovakia_Book1" xfId="304"/>
    <cellStyle name="Dziesietny [0]_Invoices2001Slovakia_Book1_DTKScamcocMT-Cantho" xfId="305"/>
    <cellStyle name="Dziesiętny [0]_Invoices2001Slovakia_Book1_DTKScamcocMT-Cantho" xfId="306"/>
    <cellStyle name="Dziesietny [0]_Invoices2001Slovakia_Book1_DTKSTK MT-CT" xfId="307"/>
    <cellStyle name="Dziesiętny [0]_Invoices2001Slovakia_Book1_DTKSTK MT-CT" xfId="308"/>
    <cellStyle name="Dziesietny [0]_Invoices2001Slovakia_Book1_Tong hop Cac tuyen(9-1-06)" xfId="309"/>
    <cellStyle name="Dziesiętny [0]_Invoices2001Slovakia_Book1_Tong hop Cac tuyen(9-1-06)" xfId="310"/>
    <cellStyle name="Dziesietny [0]_Invoices2001Slovakia_Book1_Tong hop Cac tuyen(9-1-06)_DTKScamcocMT-Cantho" xfId="311"/>
    <cellStyle name="Dziesiętny [0]_Invoices2001Slovakia_Book1_Tong hop Cac tuyen(9-1-06)_DTKScamcocMT-Cantho" xfId="312"/>
    <cellStyle name="Dziesietny [0]_Invoices2001Slovakia_Book1_Tong hop Cac tuyen(9-1-06)_DTKSTK MT-CT" xfId="313"/>
    <cellStyle name="Dziesiętny [0]_Invoices2001Slovakia_Book1_Tong hop Cac tuyen(9-1-06)_DTKSTK MT-CT" xfId="314"/>
    <cellStyle name="Dziesietny [0]_Invoices2001Slovakia_DTKScamcocMT-Cantho" xfId="315"/>
    <cellStyle name="Dziesiętny [0]_Invoices2001Slovakia_DTKScamcocMT-Cantho" xfId="316"/>
    <cellStyle name="Dziesietny [0]_Invoices2001Slovakia_DTKSTK MT-CT" xfId="317"/>
    <cellStyle name="Dziesiętny [0]_Invoices2001Slovakia_DTKSTK MT-CT" xfId="318"/>
    <cellStyle name="Dziesietny [0]_Invoices2001Slovakia_KL K.C mat duong" xfId="319"/>
    <cellStyle name="Dziesiętny [0]_Invoices2001Slovakia_Nhalamviec VTC(25-1-05)" xfId="320"/>
    <cellStyle name="Dziesietny [0]_Invoices2001Slovakia_TDT KHANH HOA" xfId="321"/>
    <cellStyle name="Dziesiętny [0]_Invoices2001Slovakia_TDT KHANH HOA" xfId="322"/>
    <cellStyle name="Dziesietny [0]_Invoices2001Slovakia_TDT KHANH HOA_DTKScamcocMT-Cantho" xfId="323"/>
    <cellStyle name="Dziesiętny [0]_Invoices2001Slovakia_TDT KHANH HOA_DTKScamcocMT-Cantho" xfId="324"/>
    <cellStyle name="Dziesietny [0]_Invoices2001Slovakia_TDT KHANH HOA_DTKSTK MT-CT" xfId="325"/>
    <cellStyle name="Dziesiętny [0]_Invoices2001Slovakia_TDT KHANH HOA_DTKSTK MT-CT" xfId="326"/>
    <cellStyle name="Dziesietny [0]_Invoices2001Slovakia_TDT KHANH HOA_Tong hop Cac tuyen(9-1-06)" xfId="327"/>
    <cellStyle name="Dziesiętny [0]_Invoices2001Slovakia_TDT KHANH HOA_Tong hop Cac tuyen(9-1-06)" xfId="328"/>
    <cellStyle name="Dziesietny [0]_Invoices2001Slovakia_TDT KHANH HOA_Tong hop Cac tuyen(9-1-06)_DTKScamcocMT-Cantho" xfId="329"/>
    <cellStyle name="Dziesiętny [0]_Invoices2001Slovakia_TDT KHANH HOA_Tong hop Cac tuyen(9-1-06)_DTKScamcocMT-Cantho" xfId="330"/>
    <cellStyle name="Dziesietny [0]_Invoices2001Slovakia_TDT KHANH HOA_Tong hop Cac tuyen(9-1-06)_DTKSTK MT-CT" xfId="331"/>
    <cellStyle name="Dziesiętny [0]_Invoices2001Slovakia_TDT KHANH HOA_Tong hop Cac tuyen(9-1-06)_DTKSTK MT-CT" xfId="332"/>
    <cellStyle name="Dziesietny [0]_Invoices2001Slovakia_TDT quangngai" xfId="333"/>
    <cellStyle name="Dziesiętny [0]_Invoices2001Slovakia_TDT quangngai" xfId="334"/>
    <cellStyle name="Dziesietny [0]_Invoices2001Slovakia_TDT quangngai_DTKScamcocMT-Cantho" xfId="335"/>
    <cellStyle name="Dziesiętny [0]_Invoices2001Slovakia_TDT quangngai_DTKScamcocMT-Cantho" xfId="336"/>
    <cellStyle name="Dziesietny [0]_Invoices2001Slovakia_TDT quangngai_DTKSTK MT-CT" xfId="337"/>
    <cellStyle name="Dziesiętny [0]_Invoices2001Slovakia_TDT quangngai_DTKSTK MT-CT" xfId="338"/>
    <cellStyle name="Dziesietny [0]_Invoices2001Slovakia_Tong hop Cac tuyen(9-1-06)" xfId="339"/>
    <cellStyle name="Dziesietny_Invoices2001Slovakia" xfId="340"/>
    <cellStyle name="Dziesiętny_Invoices2001Slovakia" xfId="341"/>
    <cellStyle name="Dziesietny_Invoices2001Slovakia_Book1" xfId="342"/>
    <cellStyle name="Dziesiętny_Invoices2001Slovakia_Book1" xfId="343"/>
    <cellStyle name="Dziesietny_Invoices2001Slovakia_Book1_DTKScamcocMT-Cantho" xfId="344"/>
    <cellStyle name="Dziesiętny_Invoices2001Slovakia_Book1_DTKScamcocMT-Cantho" xfId="345"/>
    <cellStyle name="Dziesietny_Invoices2001Slovakia_Book1_DTKSTK MT-CT" xfId="346"/>
    <cellStyle name="Dziesiętny_Invoices2001Slovakia_Book1_DTKSTK MT-CT" xfId="347"/>
    <cellStyle name="Dziesietny_Invoices2001Slovakia_Book1_Tong hop Cac tuyen(9-1-06)" xfId="348"/>
    <cellStyle name="Dziesiętny_Invoices2001Slovakia_Book1_Tong hop Cac tuyen(9-1-06)" xfId="349"/>
    <cellStyle name="Dziesietny_Invoices2001Slovakia_Book1_Tong hop Cac tuyen(9-1-06)_DTKScamcocMT-Cantho" xfId="350"/>
    <cellStyle name="Dziesiętny_Invoices2001Slovakia_Book1_Tong hop Cac tuyen(9-1-06)_DTKScamcocMT-Cantho" xfId="351"/>
    <cellStyle name="Dziesietny_Invoices2001Slovakia_Book1_Tong hop Cac tuyen(9-1-06)_DTKSTK MT-CT" xfId="352"/>
    <cellStyle name="Dziesiętny_Invoices2001Slovakia_Book1_Tong hop Cac tuyen(9-1-06)_DTKSTK MT-CT" xfId="353"/>
    <cellStyle name="Dziesietny_Invoices2001Slovakia_DTKScamcocMT-Cantho" xfId="354"/>
    <cellStyle name="Dziesiętny_Invoices2001Slovakia_DTKScamcocMT-Cantho" xfId="355"/>
    <cellStyle name="Dziesietny_Invoices2001Slovakia_DTKSTK MT-CT" xfId="356"/>
    <cellStyle name="Dziesiętny_Invoices2001Slovakia_DTKSTK MT-CT" xfId="357"/>
    <cellStyle name="Dziesietny_Invoices2001Slovakia_KL K.C mat duong" xfId="358"/>
    <cellStyle name="Dziesiętny_Invoices2001Slovakia_Nhalamviec VTC(25-1-05)" xfId="359"/>
    <cellStyle name="Dziesietny_Invoices2001Slovakia_TDT KHANH HOA" xfId="360"/>
    <cellStyle name="Dziesiętny_Invoices2001Slovakia_TDT KHANH HOA" xfId="361"/>
    <cellStyle name="Dziesietny_Invoices2001Slovakia_TDT KHANH HOA_DTKScamcocMT-Cantho" xfId="362"/>
    <cellStyle name="Dziesiętny_Invoices2001Slovakia_TDT KHANH HOA_DTKScamcocMT-Cantho" xfId="363"/>
    <cellStyle name="Dziesietny_Invoices2001Slovakia_TDT KHANH HOA_DTKSTK MT-CT" xfId="364"/>
    <cellStyle name="Dziesiętny_Invoices2001Slovakia_TDT KHANH HOA_DTKSTK MT-CT" xfId="365"/>
    <cellStyle name="Dziesietny_Invoices2001Slovakia_TDT KHANH HOA_Tong hop Cac tuyen(9-1-06)" xfId="366"/>
    <cellStyle name="Dziesiętny_Invoices2001Slovakia_TDT KHANH HOA_Tong hop Cac tuyen(9-1-06)" xfId="367"/>
    <cellStyle name="Dziesietny_Invoices2001Slovakia_TDT KHANH HOA_Tong hop Cac tuyen(9-1-06)_DTKScamcocMT-Cantho" xfId="368"/>
    <cellStyle name="Dziesiętny_Invoices2001Slovakia_TDT KHANH HOA_Tong hop Cac tuyen(9-1-06)_DTKScamcocMT-Cantho" xfId="369"/>
    <cellStyle name="Dziesietny_Invoices2001Slovakia_TDT KHANH HOA_Tong hop Cac tuyen(9-1-06)_DTKSTK MT-CT" xfId="370"/>
    <cellStyle name="Dziesiętny_Invoices2001Slovakia_TDT KHANH HOA_Tong hop Cac tuyen(9-1-06)_DTKSTK MT-CT" xfId="371"/>
    <cellStyle name="Dziesietny_Invoices2001Slovakia_TDT quangngai" xfId="372"/>
    <cellStyle name="Dziesiętny_Invoices2001Slovakia_TDT quangngai" xfId="373"/>
    <cellStyle name="Dziesietny_Invoices2001Slovakia_TDT quangngai_DTKScamcocMT-Cantho" xfId="374"/>
    <cellStyle name="Dziesiętny_Invoices2001Slovakia_TDT quangngai_DTKScamcocMT-Cantho" xfId="375"/>
    <cellStyle name="Dziesietny_Invoices2001Slovakia_TDT quangngai_DTKSTK MT-CT" xfId="376"/>
    <cellStyle name="Dziesiętny_Invoices2001Slovakia_TDT quangngai_DTKSTK MT-CT" xfId="377"/>
    <cellStyle name="Dziesietny_Invoices2001Slovakia_Tong hop Cac tuyen(9-1-06)" xfId="378"/>
    <cellStyle name="e" xfId="379"/>
    <cellStyle name="e_DTKScamcocMT-Cantho" xfId="380"/>
    <cellStyle name="e_DTKSTK MT-CT" xfId="381"/>
    <cellStyle name="Enter Currency (0)" xfId="382"/>
    <cellStyle name="Enter Currency (2)" xfId="383"/>
    <cellStyle name="Enter Units (0)" xfId="384"/>
    <cellStyle name="Enter Units (1)" xfId="385"/>
    <cellStyle name="Enter Units (2)" xfId="386"/>
    <cellStyle name="Entered" xfId="387"/>
    <cellStyle name="Euro" xfId="388"/>
    <cellStyle name="Explanatory Text" xfId="389"/>
    <cellStyle name="Explanatory Text 2" xfId="390"/>
    <cellStyle name="f" xfId="391"/>
    <cellStyle name="f_DTKScamcocMT-Cantho" xfId="392"/>
    <cellStyle name="f_DTKSTK MT-CT" xfId="393"/>
    <cellStyle name="Fixed" xfId="394"/>
    <cellStyle name="Good" xfId="395"/>
    <cellStyle name="Good 2" xfId="396"/>
    <cellStyle name="Grey" xfId="397"/>
    <cellStyle name="H" xfId="398"/>
    <cellStyle name="ha" xfId="399"/>
    <cellStyle name="Head 1" xfId="400"/>
    <cellStyle name="HEADER" xfId="401"/>
    <cellStyle name="Header1" xfId="402"/>
    <cellStyle name="Header2" xfId="403"/>
    <cellStyle name="Heading 1" xfId="404"/>
    <cellStyle name="Heading 1 2" xfId="405"/>
    <cellStyle name="Heading 2" xfId="406"/>
    <cellStyle name="Heading 2 2" xfId="407"/>
    <cellStyle name="Heading 3" xfId="408"/>
    <cellStyle name="Heading 3 2" xfId="409"/>
    <cellStyle name="Heading 4" xfId="410"/>
    <cellStyle name="Heading 4 2" xfId="411"/>
    <cellStyle name="HEADING1" xfId="412"/>
    <cellStyle name="Heading1 1" xfId="413"/>
    <cellStyle name="HEADING1_Book1" xfId="414"/>
    <cellStyle name="HEADING2" xfId="415"/>
    <cellStyle name="HEADINGS" xfId="416"/>
    <cellStyle name="HEADINGSTOP" xfId="417"/>
    <cellStyle name="headoption" xfId="418"/>
    <cellStyle name="Hoa-Scholl" xfId="419"/>
    <cellStyle name="Input" xfId="420"/>
    <cellStyle name="Input [yellow]" xfId="421"/>
    <cellStyle name="Input 2" xfId="422"/>
    <cellStyle name="k" xfId="423"/>
    <cellStyle name="khanh" xfId="424"/>
    <cellStyle name="KL" xfId="425"/>
    <cellStyle name="Ledger 17 x 11 in" xfId="426"/>
    <cellStyle name="Line" xfId="427"/>
    <cellStyle name="Link Currency (0)" xfId="428"/>
    <cellStyle name="Link Currency (2)" xfId="429"/>
    <cellStyle name="Link Units (0)" xfId="430"/>
    <cellStyle name="Link Units (1)" xfId="431"/>
    <cellStyle name="Link Units (2)" xfId="432"/>
    <cellStyle name="Linked Cell" xfId="433"/>
    <cellStyle name="Linked Cell 2" xfId="434"/>
    <cellStyle name="Migliaia (0)_CALPREZZ" xfId="435"/>
    <cellStyle name="Migliaia_ PESO ELETTR." xfId="436"/>
    <cellStyle name="Millares [0]_Well Timing" xfId="437"/>
    <cellStyle name="Millares_Well Timing" xfId="438"/>
    <cellStyle name="Milliers [0]_AR1194" xfId="439"/>
    <cellStyle name="Milliers_AR1194" xfId="440"/>
    <cellStyle name="Model" xfId="441"/>
    <cellStyle name="moi" xfId="442"/>
    <cellStyle name="Moneda [0]_Well Timing" xfId="443"/>
    <cellStyle name="Moneda_Well Timing" xfId="444"/>
    <cellStyle name="Monétaire [0]_AR1194" xfId="445"/>
    <cellStyle name="Monétaire_AR1194" xfId="446"/>
    <cellStyle name="n" xfId="447"/>
    <cellStyle name="n_Book1" xfId="448"/>
    <cellStyle name="n_DTKScamcocMT-Cantho" xfId="449"/>
    <cellStyle name="n_DTKSTK MT-CT" xfId="450"/>
    <cellStyle name="Neutral" xfId="451"/>
    <cellStyle name="Neutral 2" xfId="452"/>
    <cellStyle name="New" xfId="453"/>
    <cellStyle name="New Times Roman" xfId="454"/>
    <cellStyle name="New_DTKScamcocMT-Cantho" xfId="455"/>
    <cellStyle name="no dec" xfId="456"/>
    <cellStyle name="ÑONVÒ" xfId="457"/>
    <cellStyle name="Normal - Style1" xfId="458"/>
    <cellStyle name="Normal - 유형1" xfId="459"/>
    <cellStyle name="Normal 10 3" xfId="460"/>
    <cellStyle name="Normal 13" xfId="461"/>
    <cellStyle name="Normal 14" xfId="462"/>
    <cellStyle name="Normal 2" xfId="463"/>
    <cellStyle name="Normal 2 3" xfId="464"/>
    <cellStyle name="Normal 2 6" xfId="465"/>
    <cellStyle name="Normal 28" xfId="466"/>
    <cellStyle name="Normal 3" xfId="467"/>
    <cellStyle name="Normal 3_17 bieu (hung cap nhap)" xfId="468"/>
    <cellStyle name="Normal 30" xfId="469"/>
    <cellStyle name="Normal 31" xfId="470"/>
    <cellStyle name="Normal 5 3" xfId="471"/>
    <cellStyle name="Normal 7" xfId="472"/>
    <cellStyle name="Normal_bieu mau 2012 (cap nhap)" xfId="473"/>
    <cellStyle name="Normal_cac huyen" xfId="474"/>
    <cellStyle name="Normal_Sheet6" xfId="475"/>
    <cellStyle name="Normal_UOC KQ 2014" xfId="476"/>
    <cellStyle name="Normal1" xfId="477"/>
    <cellStyle name="Normale_ PESO ELETTR." xfId="478"/>
    <cellStyle name="Normalny_Cennik obowiazuje od 06-08-2001 r (1)" xfId="479"/>
    <cellStyle name="Note" xfId="480"/>
    <cellStyle name="Note 2" xfId="481"/>
    <cellStyle name="Œ…‹æØ‚è [0.00]_ÆÂ¹²" xfId="482"/>
    <cellStyle name="Œ…‹æØ‚è_laroux" xfId="483"/>
    <cellStyle name="oft Excel]&#13;&#10;Comment=open=/f ‚ðw’è‚·‚é‚ÆAƒ†[ƒU[’è‹`ŠÖ”‚ðŠÖ”“\‚è•t‚¯‚Ìˆê——‚É“o˜^‚·‚é‚±‚Æ‚ª‚Å‚«‚Ü‚·B&#13;&#10;Maximized" xfId="484"/>
    <cellStyle name="oft Excel]&#13;&#10;Comment=The open=/f lines load custom functions into the Paste Function list.&#13;&#10;Maximized=2&#13;&#10;Basics=1&#13;&#10;A" xfId="485"/>
    <cellStyle name="oft Excel]&#13;&#10;Comment=The open=/f lines load custom functions into the Paste Function list.&#13;&#10;Maximized=3&#13;&#10;Basics=1&#13;&#10;A" xfId="486"/>
    <cellStyle name="omma [0]_Mktg Prog??_x001A_Comma [0]_mud plant bolted?_x0010_Comma [0]_ODCOS ?_x0017_" xfId="487"/>
    <cellStyle name="ormal_Sheet1_1?_x0001__x0015_Normal_Sheet1_Amer Q4?_x0001__x0012_Normal_Sheet1_FY96?_x0018_Normal_Sheet1_HC " xfId="488"/>
    <cellStyle name="Output" xfId="489"/>
    <cellStyle name="Output 2" xfId="490"/>
    <cellStyle name="paint" xfId="491"/>
    <cellStyle name="per.style" xfId="492"/>
    <cellStyle name="Percent" xfId="493"/>
    <cellStyle name="Percent [0]" xfId="494"/>
    <cellStyle name="Percent [00]" xfId="495"/>
    <cellStyle name="Percent [2]" xfId="496"/>
    <cellStyle name="PERCENTAGE" xfId="497"/>
    <cellStyle name="PrePop Currency (0)" xfId="498"/>
    <cellStyle name="PrePop Currency (2)" xfId="499"/>
    <cellStyle name="PrePop Units (0)" xfId="500"/>
    <cellStyle name="PrePop Units (1)" xfId="501"/>
    <cellStyle name="PrePop Units (2)" xfId="502"/>
    <cellStyle name="pricing" xfId="503"/>
    <cellStyle name="PSChar" xfId="504"/>
    <cellStyle name="PSHeading" xfId="505"/>
    <cellStyle name="regstoresfromspecstores" xfId="506"/>
    <cellStyle name="RevList" xfId="507"/>
    <cellStyle name="s]&#13;&#10;spooler=yes&#13;&#10;load=&#13;&#10;Beep=yes&#13;&#10;NullPort=None&#13;&#10;BorderWidth=3&#13;&#10;CursorBlinkRate=1200&#13;&#10;DoubleClickSpeed=452&#13;&#10;Programs=co" xfId="508"/>
    <cellStyle name="SAPBEXaggData" xfId="509"/>
    <cellStyle name="SAPBEXaggDataEmph" xfId="510"/>
    <cellStyle name="SAPBEXaggItem" xfId="511"/>
    <cellStyle name="SAPBEXchaText" xfId="512"/>
    <cellStyle name="SAPBEXexcBad7" xfId="513"/>
    <cellStyle name="SAPBEXexcBad8" xfId="514"/>
    <cellStyle name="SAPBEXexcBad9" xfId="515"/>
    <cellStyle name="SAPBEXexcCritical4" xfId="516"/>
    <cellStyle name="SAPBEXexcCritical5" xfId="517"/>
    <cellStyle name="SAPBEXexcCritical6" xfId="518"/>
    <cellStyle name="SAPBEXexcGood1" xfId="519"/>
    <cellStyle name="SAPBEXexcGood2" xfId="520"/>
    <cellStyle name="SAPBEXexcGood3" xfId="521"/>
    <cellStyle name="SAPBEXfilterDrill" xfId="522"/>
    <cellStyle name="SAPBEXfilterItem" xfId="523"/>
    <cellStyle name="SAPBEXfilterText" xfId="524"/>
    <cellStyle name="SAPBEXformats" xfId="525"/>
    <cellStyle name="SAPBEXheaderItem" xfId="526"/>
    <cellStyle name="SAPBEXheaderText" xfId="527"/>
    <cellStyle name="SAPBEXresData" xfId="528"/>
    <cellStyle name="SAPBEXresDataEmph" xfId="529"/>
    <cellStyle name="SAPBEXresItem" xfId="530"/>
    <cellStyle name="SAPBEXstdData" xfId="531"/>
    <cellStyle name="SAPBEXstdDataEmph" xfId="532"/>
    <cellStyle name="SAPBEXstdItem" xfId="533"/>
    <cellStyle name="SAPBEXtitle" xfId="534"/>
    <cellStyle name="SAPBEXundefined" xfId="535"/>
    <cellStyle name="SHADEDSTORES" xfId="536"/>
    <cellStyle name="Siêu nối kết_Book1" xfId="537"/>
    <cellStyle name="specstores" xfId="538"/>
    <cellStyle name="Standard_NEGS" xfId="539"/>
    <cellStyle name="STTDG" xfId="540"/>
    <cellStyle name="Style 1" xfId="541"/>
    <cellStyle name="Style 2" xfId="542"/>
    <cellStyle name="style_1" xfId="543"/>
    <cellStyle name="subhead" xfId="544"/>
    <cellStyle name="Subtotal" xfId="545"/>
    <cellStyle name="T" xfId="546"/>
    <cellStyle name="T_BANG LUONG MOI KSDH va KSDC (co phu cap khu vuc)" xfId="547"/>
    <cellStyle name="T_BANG LUONG MOI KSDH va KSDC (co phu cap khu vuc)_DTKScamcocMT-Cantho" xfId="548"/>
    <cellStyle name="T_BANG LUONG MOI KSDH va KSDC (co phu cap khu vuc)_DTKSTK MT-CT" xfId="549"/>
    <cellStyle name="T_Bc_tuan_1_CKy_6_KONTUM" xfId="550"/>
    <cellStyle name="T_Book1" xfId="551"/>
    <cellStyle name="T_Book1_1" xfId="552"/>
    <cellStyle name="T_Book1_1_Book1" xfId="553"/>
    <cellStyle name="T_Book1_1_DTKScamcocMT-Cantho" xfId="554"/>
    <cellStyle name="T_Book1_1_DTKSTK MT-CT" xfId="555"/>
    <cellStyle name="T_Book1_1_gia thau  goi 2-Lien Danh tan hung" xfId="556"/>
    <cellStyle name="T_Book1_1_khoi luong phan chia chinh thuc goi 2" xfId="557"/>
    <cellStyle name="T_Book1_Book1" xfId="558"/>
    <cellStyle name="T_Book1_Book1_1" xfId="559"/>
    <cellStyle name="T_Book1_Book1_khoi luong phan chia chinh thuc goi 2" xfId="560"/>
    <cellStyle name="T_Book1_DT492" xfId="561"/>
    <cellStyle name="T_Book1_DTKScamcocMT-Cantho" xfId="562"/>
    <cellStyle name="T_Book1_DTKSTK MT-CT" xfId="563"/>
    <cellStyle name="T_Book1_Du toan BVTC 10-2007" xfId="564"/>
    <cellStyle name="T_Book1_gia thau  goi 2-Lien Danh tan hung" xfId="565"/>
    <cellStyle name="T_Book1_HECO-NR78-Gui a-Vinh(15-5-07)" xfId="566"/>
    <cellStyle name="T_Book1_HECO-NR78-Gui a-Vinh(15-5-07)_DTKScamcocMT-Cantho" xfId="567"/>
    <cellStyle name="T_Book1_HECO-NR78-Gui a-Vinh(15-5-07)_DTKSTK MT-CT" xfId="568"/>
    <cellStyle name="T_Book1_KH phat trien KTXH den 2010" xfId="569"/>
    <cellStyle name="T_Book1_khoi luong phan chia chinh thuc goi 2" xfId="570"/>
    <cellStyle name="T_Book1_Mau bao cao von XDCB 2009 (so XD )1" xfId="571"/>
    <cellStyle name="T_Book1_San sat hach moi" xfId="572"/>
    <cellStyle name="T_CDKT" xfId="573"/>
    <cellStyle name="T_CDKT_DTKScamcocMT-Cantho" xfId="574"/>
    <cellStyle name="T_CDKT_DTKSTK MT-CT" xfId="575"/>
    <cellStyle name="T_Cost for DD (summary)" xfId="576"/>
    <cellStyle name="T_Cost for DD (summary)_DTKScamcocMT-Cantho" xfId="577"/>
    <cellStyle name="T_Cost for DD (summary)_DTKSTK MT-CT" xfId="578"/>
    <cellStyle name="T_DTKScamcocMT-Cantho" xfId="579"/>
    <cellStyle name="T_DTKSTK MT-CT" xfId="580"/>
    <cellStyle name="T_dtTL598G1." xfId="581"/>
    <cellStyle name="T_Du toan BVTC 10-2007" xfId="582"/>
    <cellStyle name="T_Khao satD1" xfId="583"/>
    <cellStyle name="T_Khao satD1_DTKScamcocMT-Cantho" xfId="584"/>
    <cellStyle name="T_Khao satD1_DTKSTK MT-CT" xfId="585"/>
    <cellStyle name="T_San sat hach moi" xfId="586"/>
    <cellStyle name="T_SS BVTC cau va cong tuyen Le Chan" xfId="587"/>
    <cellStyle name="T_Tay Bac 1" xfId="588"/>
    <cellStyle name="T_Thong ke" xfId="589"/>
    <cellStyle name="T_Thong ke_DTKScamcocMT-Cantho" xfId="590"/>
    <cellStyle name="T_Thong ke_DTKSTK MT-CT" xfId="591"/>
    <cellStyle name="T_tien2004" xfId="592"/>
    <cellStyle name="T_tien2004_DTKScamcocMT-Cantho" xfId="593"/>
    <cellStyle name="T_tien2004_DTKSTK MT-CT" xfId="594"/>
    <cellStyle name="T_TKE-ChoDon-sua" xfId="595"/>
    <cellStyle name="T_TKE-ChoDon-sua_DTKScamcocMT-Cantho" xfId="596"/>
    <cellStyle name="T_TKE-ChoDon-sua_DTKSTK MT-CT" xfId="597"/>
    <cellStyle name="T_tong muc dau t­u" xfId="598"/>
    <cellStyle name="t13" xfId="599"/>
    <cellStyle name="Text Indent A" xfId="600"/>
    <cellStyle name="Text Indent B" xfId="601"/>
    <cellStyle name="Text Indent C" xfId="602"/>
    <cellStyle name="th" xfId="603"/>
    <cellStyle name="þ_x001D_ð¤_x000C_¯þ_x0014_&#13;¨þU_x0001_À_x0004_ _x0015__x000F__x0001__x0001_" xfId="604"/>
    <cellStyle name="þ_x001D_ð¤_x000C_¯þ_x0014_&#13;¨þU_x0001_À_x0004_ _x0015__x000F__x0001__x0001_?_x0002_ÿÿÿÿÿÿÿÿÿÿÿÿÿÿÿ¯?(_x0002__x001D__x0017_ ???º%ÿÿÿÿ????_x0006__x0016_??????????????Í!Ë??????????           ?????           ?????????&#13;&#13;U&#13;H\D2&#13;D2\DEMO.MSC&#13;S;C:\DOS;C:\HANH\D3;C:\HANH\D2;C:\NC&#13;????????????????????????????????????????????????????????????" xfId="605"/>
    <cellStyle name="þ_x001D_ð·_x000C_æþ'&#13;ßþU_x0001_Ø_x0005_ü_x0014__x0007__x0001__x0001_" xfId="606"/>
    <cellStyle name="þ_x001D_ð·_x000C_æþ'&#13;ßþU_x0001_Ø_x0005_ü_x0014__x0007__x0001__x0001_?_x0002_ÿÿÿÿÿÿÿÿÿÿÿÿÿÿÿ¯?(_x0002__x001E__x0016_ ???¼$ÿÿÿÿ????_x0006__x0016_??????????????Í!Ë??????????           ?????           ?????????&#13;C:\WINDOWS\&#13;V&#13;S\TEMP&#13;NC;C:\NU;C:\VIRUS;&#13;?????????????????????????????????????????????????????????????????????????????" xfId="607"/>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608"/>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609"/>
    <cellStyle name="þ_x001D_ðÇ%Uý—&amp;Hý9_x0008_Ÿ s&#10;_x0007__x0001__x0001_" xfId="610"/>
    <cellStyle name="þ_x001D_ðÇ%Uý—&amp;Hý9_x0008_Ÿ s&#10;_x0007__x0001__x0001_?_x0002_ÿÿÿÿÿÿÿÿÿÿÿÿÿÿÿ_x0001_(_x0002_—&#13;???Î_x001F_ÿÿÿÿ????_x0007_???????????????Í!Ë??????????           ?????           ?????????&#13;C:\WINDOWS\country.sys&#13;??????????????????????????????????????????????????????????????????????????????????????????????" xfId="611"/>
    <cellStyle name="þ_x001D_ðK_x000C_Fý_x001B_&#13;9ýU_x0001_Ð_x0008_¦)_x0007__x0001__x0001_" xfId="612"/>
    <cellStyle name="þ_x001D_ðK_x000C_Fý_x001B_&#13;9ýU_x0001_Ð_x0008_¦)_x0007__x0001__x0001_?_x0002_ÿÿÿÿÿÿÿÿÿÿÿÿÿÿÿ¯?(_x0002_$- ???&amp;&lt;ÿÿÿÿ??Î_x0005__x0006__x0014_??????????????Í!Ë??????????           ?????           ?????????&#13;.&#13;_DELL2\VOL1:NET_CONF\MESSAGE2.TXT&#13;AMAMOTO&#13;\HYPERION\HYPPROGS&#13;??????????????????????????????????????????????????????" xfId="613"/>
    <cellStyle name="thuong-10" xfId="614"/>
    <cellStyle name="thuong-11" xfId="615"/>
    <cellStyle name="Tieu_de_2" xfId="616"/>
    <cellStyle name="tit1" xfId="617"/>
    <cellStyle name="tit2" xfId="618"/>
    <cellStyle name="tit3" xfId="619"/>
    <cellStyle name="tit4" xfId="620"/>
    <cellStyle name="Title" xfId="621"/>
    <cellStyle name="Title 2" xfId="622"/>
    <cellStyle name="Tongcong" xfId="623"/>
    <cellStyle name="Total" xfId="624"/>
    <cellStyle name="Total 2" xfId="625"/>
    <cellStyle name="Valuta (0)_CALPREZZ" xfId="626"/>
    <cellStyle name="Valuta_ PESO ELETTR." xfId="627"/>
    <cellStyle name="VANG1" xfId="628"/>
    <cellStyle name="viet" xfId="629"/>
    <cellStyle name="viet2" xfId="630"/>
    <cellStyle name="VN new romanNormal" xfId="631"/>
    <cellStyle name="VN time new roman" xfId="632"/>
    <cellStyle name="vn_time" xfId="633"/>
    <cellStyle name="vnbo" xfId="634"/>
    <cellStyle name="vnhead1" xfId="635"/>
    <cellStyle name="vnhead2" xfId="636"/>
    <cellStyle name="vnhead3" xfId="637"/>
    <cellStyle name="vnhead4" xfId="638"/>
    <cellStyle name="vntxt1" xfId="639"/>
    <cellStyle name="vntxt2" xfId="640"/>
    <cellStyle name="Währung [0]_68574_Materialbedarfsliste" xfId="641"/>
    <cellStyle name="Währung_68574_Materialbedarfsliste" xfId="642"/>
    <cellStyle name="Walutowy [0]_Invoices2001Slovakia" xfId="643"/>
    <cellStyle name="Walutowy_Invoices2001Slovakia" xfId="644"/>
    <cellStyle name="Warning Text" xfId="645"/>
    <cellStyle name="Warning Text 2" xfId="646"/>
    <cellStyle name="xan1" xfId="647"/>
    <cellStyle name="xuan" xfId="648"/>
    <cellStyle name="เครื่องหมายสกุลเงิน [0]_FTC_OFFER" xfId="649"/>
    <cellStyle name="เครื่องหมายสกุลเงิน_FTC_OFFER" xfId="650"/>
    <cellStyle name="ปกติ_FTC_OFFER" xfId="651"/>
    <cellStyle name=" [0.00]_ Att. 1- Cover" xfId="652"/>
    <cellStyle name="_ Att. 1- Cover" xfId="653"/>
    <cellStyle name="?_ Att. 1- Cover" xfId="654"/>
    <cellStyle name="똿뗦먛귟 [0.00]_PRODUCT DETAIL Q1" xfId="655"/>
    <cellStyle name="똿뗦먛귟_PRODUCT DETAIL Q1" xfId="656"/>
    <cellStyle name="믅됞 [0.00]_PRODUCT DETAIL Q1" xfId="657"/>
    <cellStyle name="믅됞_PRODUCT DETAIL Q1" xfId="658"/>
    <cellStyle name="백분율_95" xfId="659"/>
    <cellStyle name="뷭?_BOOKSHIP" xfId="660"/>
    <cellStyle name="콤마 [ - 유형1" xfId="661"/>
    <cellStyle name="콤마 [ - 유형2" xfId="662"/>
    <cellStyle name="콤마 [ - 유형3" xfId="663"/>
    <cellStyle name="콤마 [ - 유형4" xfId="664"/>
    <cellStyle name="콤마 [ - 유형5" xfId="665"/>
    <cellStyle name="콤마 [ - 유형6" xfId="666"/>
    <cellStyle name="콤마 [ - 유형7" xfId="667"/>
    <cellStyle name="콤마 [ - 유형8" xfId="668"/>
    <cellStyle name="콤마 [0]_ 비목별 월별기술 " xfId="669"/>
    <cellStyle name="콤마_ 비목별 월별기술 " xfId="670"/>
    <cellStyle name="통화 [0]_1202" xfId="671"/>
    <cellStyle name="통화_1202" xfId="672"/>
    <cellStyle name="표준_(정보부문)월별인원계획" xfId="673"/>
    <cellStyle name="一般_00Q3902REV.1" xfId="674"/>
    <cellStyle name="千分位[0]_00Q3902REV.1" xfId="675"/>
    <cellStyle name="千分位_00Q3902REV.1" xfId="676"/>
    <cellStyle name="桁区切り [0.00]_cost estimate D-D (version 1)" xfId="677"/>
    <cellStyle name="桁区切り_List-dwgist-" xfId="678"/>
    <cellStyle name="標準_BOQ-08" xfId="679"/>
    <cellStyle name="貨幣 [0]_00Q3902REV.1" xfId="680"/>
    <cellStyle name="貨幣[0]_BRE" xfId="681"/>
    <cellStyle name="貨幣_00Q3902REV.1" xfId="682"/>
    <cellStyle name="通貨 [0.00]_List-dwgwg" xfId="683"/>
    <cellStyle name="通貨_List-dwgis" xfId="68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IH111"/>
  <sheetViews>
    <sheetView view="pageBreakPreview" zoomScale="93" zoomScaleSheetLayoutView="93" zoomScalePageLayoutView="0" workbookViewId="0" topLeftCell="A1">
      <pane ySplit="8" topLeftCell="A103" activePane="bottomLeft" state="frozen"/>
      <selection pane="topLeft" activeCell="A1" sqref="A1"/>
      <selection pane="bottomLeft" activeCell="G9" sqref="G9:G111"/>
    </sheetView>
  </sheetViews>
  <sheetFormatPr defaultColWidth="8.796875" defaultRowHeight="18.75"/>
  <cols>
    <col min="1" max="1" width="3.69921875" style="1" customWidth="1"/>
    <col min="2" max="2" width="41.296875" style="1" customWidth="1"/>
    <col min="3" max="3" width="10.8984375" style="5" customWidth="1"/>
    <col min="4" max="4" width="12.796875" style="6" customWidth="1"/>
    <col min="5" max="5" width="11.8984375" style="7" customWidth="1"/>
    <col min="6" max="6" width="11.8984375" style="6" customWidth="1"/>
    <col min="7" max="7" width="11.296875" style="6" customWidth="1"/>
    <col min="8" max="8" width="1.203125" style="1" hidden="1" customWidth="1"/>
    <col min="9" max="9" width="2" style="1" hidden="1" customWidth="1"/>
    <col min="10" max="10" width="2.69921875" style="1" hidden="1" customWidth="1"/>
    <col min="11" max="16384" width="8.796875" style="1" customWidth="1"/>
  </cols>
  <sheetData>
    <row r="1" spans="1:10" ht="18.75">
      <c r="A1" s="828" t="s">
        <v>272</v>
      </c>
      <c r="B1" s="828"/>
      <c r="C1" s="828"/>
      <c r="D1" s="828"/>
      <c r="E1" s="828"/>
      <c r="F1" s="828"/>
      <c r="G1" s="828"/>
      <c r="H1" s="828"/>
      <c r="I1" s="828"/>
      <c r="J1" s="828"/>
    </row>
    <row r="2" spans="1:10" ht="18.75">
      <c r="A2" s="829" t="s">
        <v>27</v>
      </c>
      <c r="B2" s="829"/>
      <c r="C2" s="829"/>
      <c r="D2" s="829"/>
      <c r="E2" s="829"/>
      <c r="F2" s="829"/>
      <c r="G2" s="829"/>
      <c r="H2" s="829"/>
      <c r="I2" s="829"/>
      <c r="J2" s="829"/>
    </row>
    <row r="3" spans="1:10" ht="18.75">
      <c r="A3" s="829" t="s">
        <v>274</v>
      </c>
      <c r="B3" s="829"/>
      <c r="C3" s="829"/>
      <c r="D3" s="829"/>
      <c r="E3" s="829"/>
      <c r="F3" s="829"/>
      <c r="G3" s="829"/>
      <c r="H3" s="829"/>
      <c r="I3" s="829"/>
      <c r="J3" s="829"/>
    </row>
    <row r="4" spans="1:10" ht="18.75">
      <c r="A4" s="827" t="s">
        <v>310</v>
      </c>
      <c r="B4" s="827"/>
      <c r="C4" s="827"/>
      <c r="D4" s="827"/>
      <c r="E4" s="827"/>
      <c r="F4" s="827"/>
      <c r="G4" s="827"/>
      <c r="H4" s="827"/>
      <c r="I4" s="827"/>
      <c r="J4" s="827"/>
    </row>
    <row r="5" spans="1:7" ht="18.75">
      <c r="A5" s="826"/>
      <c r="B5" s="826"/>
      <c r="C5" s="826"/>
      <c r="D5" s="826"/>
      <c r="E5" s="826"/>
      <c r="F5" s="826"/>
      <c r="G5" s="826"/>
    </row>
    <row r="6" spans="1:11" ht="29.25" customHeight="1">
      <c r="A6" s="832" t="s">
        <v>0</v>
      </c>
      <c r="B6" s="824" t="s">
        <v>1</v>
      </c>
      <c r="C6" s="824" t="s">
        <v>2</v>
      </c>
      <c r="D6" s="824" t="s">
        <v>181</v>
      </c>
      <c r="E6" s="824" t="s">
        <v>182</v>
      </c>
      <c r="F6" s="824"/>
      <c r="G6" s="824" t="s">
        <v>191</v>
      </c>
      <c r="H6" s="830" t="s">
        <v>273</v>
      </c>
      <c r="I6" s="830"/>
      <c r="J6" s="831"/>
      <c r="K6" s="11"/>
    </row>
    <row r="7" spans="1:11" ht="66" customHeight="1">
      <c r="A7" s="833"/>
      <c r="B7" s="825"/>
      <c r="C7" s="825"/>
      <c r="D7" s="825"/>
      <c r="E7" s="26" t="s">
        <v>183</v>
      </c>
      <c r="F7" s="26" t="s">
        <v>184</v>
      </c>
      <c r="G7" s="825"/>
      <c r="H7" s="225" t="s">
        <v>187</v>
      </c>
      <c r="I7" s="225" t="s">
        <v>186</v>
      </c>
      <c r="J7" s="226" t="s">
        <v>185</v>
      </c>
      <c r="K7" s="11"/>
    </row>
    <row r="8" spans="1:11" s="19" customFormat="1" ht="24" customHeight="1">
      <c r="A8" s="227">
        <v>1</v>
      </c>
      <c r="B8" s="228">
        <v>2</v>
      </c>
      <c r="C8" s="228">
        <v>3</v>
      </c>
      <c r="D8" s="228">
        <v>4</v>
      </c>
      <c r="E8" s="228">
        <v>5</v>
      </c>
      <c r="F8" s="228">
        <v>6</v>
      </c>
      <c r="G8" s="228">
        <v>7</v>
      </c>
      <c r="H8" s="228" t="s">
        <v>188</v>
      </c>
      <c r="I8" s="228" t="s">
        <v>189</v>
      </c>
      <c r="J8" s="229" t="s">
        <v>190</v>
      </c>
      <c r="K8" s="230"/>
    </row>
    <row r="9" spans="1:11" ht="33" customHeight="1">
      <c r="A9" s="180" t="s">
        <v>3</v>
      </c>
      <c r="B9" s="527" t="s">
        <v>152</v>
      </c>
      <c r="C9" s="256"/>
      <c r="D9" s="256"/>
      <c r="E9" s="256"/>
      <c r="F9" s="256"/>
      <c r="G9" s="256"/>
      <c r="H9" s="256"/>
      <c r="I9" s="256"/>
      <c r="J9" s="528"/>
      <c r="K9" s="11"/>
    </row>
    <row r="10" spans="1:11" ht="33" customHeight="1">
      <c r="A10" s="147">
        <v>1</v>
      </c>
      <c r="B10" s="183" t="s">
        <v>146</v>
      </c>
      <c r="C10" s="183"/>
      <c r="D10" s="183"/>
      <c r="E10" s="183"/>
      <c r="F10" s="183"/>
      <c r="G10" s="155"/>
      <c r="H10" s="231"/>
      <c r="I10" s="231"/>
      <c r="J10" s="232"/>
      <c r="K10" s="11"/>
    </row>
    <row r="11" spans="1:11" s="2" customFormat="1" ht="33" customHeight="1">
      <c r="A11" s="227" t="s">
        <v>98</v>
      </c>
      <c r="B11" s="233" t="s">
        <v>275</v>
      </c>
      <c r="C11" s="228" t="s">
        <v>4</v>
      </c>
      <c r="D11" s="168">
        <v>1815</v>
      </c>
      <c r="E11" s="192">
        <f>E12+E13+E14</f>
        <v>2105</v>
      </c>
      <c r="F11" s="192">
        <f>F12+F13+F14</f>
        <v>2067</v>
      </c>
      <c r="G11" s="192">
        <f>G12+G13+G14</f>
        <v>2442</v>
      </c>
      <c r="H11" s="234">
        <f aca="true" t="shared" si="0" ref="H11:H30">F11/D11*100</f>
        <v>113.88429752066116</v>
      </c>
      <c r="I11" s="235">
        <f aca="true" t="shared" si="1" ref="I11:I30">F11/E11*100</f>
        <v>98.19477434679335</v>
      </c>
      <c r="J11" s="236">
        <f aca="true" t="shared" si="2" ref="J11:J70">G11/F11*100</f>
        <v>118.14223512336719</v>
      </c>
      <c r="K11" s="22"/>
    </row>
    <row r="12" spans="1:11" ht="33" customHeight="1">
      <c r="A12" s="184" t="s">
        <v>9</v>
      </c>
      <c r="B12" s="237" t="s">
        <v>5</v>
      </c>
      <c r="C12" s="182" t="s">
        <v>4</v>
      </c>
      <c r="D12" s="238">
        <v>611</v>
      </c>
      <c r="E12" s="155">
        <v>705</v>
      </c>
      <c r="F12" s="238">
        <v>705</v>
      </c>
      <c r="G12" s="155">
        <v>814</v>
      </c>
      <c r="H12" s="138">
        <f t="shared" si="0"/>
        <v>115.38461538461537</v>
      </c>
      <c r="I12" s="239">
        <f t="shared" si="1"/>
        <v>100</v>
      </c>
      <c r="J12" s="139">
        <f t="shared" si="2"/>
        <v>115.46099290780141</v>
      </c>
      <c r="K12" s="11"/>
    </row>
    <row r="13" spans="1:11" ht="33" customHeight="1">
      <c r="A13" s="184" t="s">
        <v>9</v>
      </c>
      <c r="B13" s="237" t="s">
        <v>6</v>
      </c>
      <c r="C13" s="182" t="s">
        <v>4</v>
      </c>
      <c r="D13" s="238">
        <v>491</v>
      </c>
      <c r="E13" s="156">
        <v>562</v>
      </c>
      <c r="F13" s="238">
        <v>524</v>
      </c>
      <c r="G13" s="156">
        <v>656</v>
      </c>
      <c r="H13" s="138">
        <f t="shared" si="0"/>
        <v>106.72097759674135</v>
      </c>
      <c r="I13" s="239">
        <f t="shared" si="1"/>
        <v>93.23843416370107</v>
      </c>
      <c r="J13" s="139">
        <f t="shared" si="2"/>
        <v>125.1908396946565</v>
      </c>
      <c r="K13" s="11"/>
    </row>
    <row r="14" spans="1:11" ht="33" customHeight="1">
      <c r="A14" s="184" t="s">
        <v>9</v>
      </c>
      <c r="B14" s="237" t="s">
        <v>7</v>
      </c>
      <c r="C14" s="182" t="s">
        <v>4</v>
      </c>
      <c r="D14" s="238">
        <v>713</v>
      </c>
      <c r="E14" s="156">
        <v>838</v>
      </c>
      <c r="F14" s="238">
        <v>838</v>
      </c>
      <c r="G14" s="156">
        <v>972</v>
      </c>
      <c r="H14" s="138">
        <f t="shared" si="0"/>
        <v>117.53155680224403</v>
      </c>
      <c r="I14" s="239">
        <f t="shared" si="1"/>
        <v>100</v>
      </c>
      <c r="J14" s="139">
        <f t="shared" si="2"/>
        <v>115.99045346062053</v>
      </c>
      <c r="K14" s="11"/>
    </row>
    <row r="15" spans="1:11" s="2" customFormat="1" ht="33" customHeight="1">
      <c r="A15" s="227" t="s">
        <v>100</v>
      </c>
      <c r="B15" s="233" t="s">
        <v>276</v>
      </c>
      <c r="C15" s="228" t="s">
        <v>4</v>
      </c>
      <c r="D15" s="168">
        <v>2453</v>
      </c>
      <c r="E15" s="192">
        <v>2842</v>
      </c>
      <c r="F15" s="192">
        <f>SUM(F16:F18)</f>
        <v>2792</v>
      </c>
      <c r="G15" s="192">
        <f>SUM(G16:G18)</f>
        <v>3297</v>
      </c>
      <c r="H15" s="234">
        <f t="shared" si="0"/>
        <v>113.819812474521</v>
      </c>
      <c r="I15" s="235">
        <f t="shared" si="1"/>
        <v>98.24067558057706</v>
      </c>
      <c r="J15" s="236">
        <f t="shared" si="2"/>
        <v>118.08739255014326</v>
      </c>
      <c r="K15" s="22"/>
    </row>
    <row r="16" spans="1:11" ht="33" customHeight="1">
      <c r="A16" s="184" t="s">
        <v>9</v>
      </c>
      <c r="B16" s="237" t="s">
        <v>5</v>
      </c>
      <c r="C16" s="182" t="s">
        <v>4</v>
      </c>
      <c r="D16" s="148">
        <v>981</v>
      </c>
      <c r="E16" s="155">
        <v>1132</v>
      </c>
      <c r="F16" s="154">
        <v>1132</v>
      </c>
      <c r="G16" s="155">
        <v>1308</v>
      </c>
      <c r="H16" s="138">
        <f t="shared" si="0"/>
        <v>115.39245667686035</v>
      </c>
      <c r="I16" s="239">
        <f t="shared" si="1"/>
        <v>100</v>
      </c>
      <c r="J16" s="139">
        <f t="shared" si="2"/>
        <v>115.54770318021201</v>
      </c>
      <c r="K16" s="11"/>
    </row>
    <row r="17" spans="1:11" ht="33" customHeight="1">
      <c r="A17" s="184" t="s">
        <v>9</v>
      </c>
      <c r="B17" s="237" t="s">
        <v>6</v>
      </c>
      <c r="C17" s="182" t="s">
        <v>4</v>
      </c>
      <c r="D17" s="148">
        <v>638</v>
      </c>
      <c r="E17" s="156">
        <v>730</v>
      </c>
      <c r="F17" s="154">
        <v>680</v>
      </c>
      <c r="G17" s="156">
        <v>852</v>
      </c>
      <c r="H17" s="138">
        <f t="shared" si="0"/>
        <v>106.58307210031349</v>
      </c>
      <c r="I17" s="239">
        <f t="shared" si="1"/>
        <v>93.15068493150685</v>
      </c>
      <c r="J17" s="139">
        <f t="shared" si="2"/>
        <v>125.29411764705883</v>
      </c>
      <c r="K17" s="11"/>
    </row>
    <row r="18" spans="1:11" ht="33" customHeight="1">
      <c r="A18" s="184" t="s">
        <v>9</v>
      </c>
      <c r="B18" s="237" t="s">
        <v>7</v>
      </c>
      <c r="C18" s="182" t="s">
        <v>4</v>
      </c>
      <c r="D18" s="148">
        <v>834</v>
      </c>
      <c r="E18" s="156">
        <v>980</v>
      </c>
      <c r="F18" s="154">
        <v>980</v>
      </c>
      <c r="G18" s="155">
        <v>1137</v>
      </c>
      <c r="H18" s="138">
        <f t="shared" si="0"/>
        <v>117.50599520383693</v>
      </c>
      <c r="I18" s="239">
        <f t="shared" si="1"/>
        <v>100</v>
      </c>
      <c r="J18" s="139">
        <f t="shared" si="2"/>
        <v>116.02040816326532</v>
      </c>
      <c r="K18" s="11"/>
    </row>
    <row r="19" spans="1:11" ht="33" customHeight="1">
      <c r="A19" s="147">
        <v>2</v>
      </c>
      <c r="B19" s="38" t="s">
        <v>287</v>
      </c>
      <c r="C19" s="137" t="s">
        <v>8</v>
      </c>
      <c r="D19" s="148">
        <v>15.87</v>
      </c>
      <c r="E19" s="156">
        <v>15.99</v>
      </c>
      <c r="F19" s="148">
        <v>13.88</v>
      </c>
      <c r="G19" s="156">
        <v>16.05</v>
      </c>
      <c r="H19" s="138">
        <f t="shared" si="0"/>
        <v>87.4606175173283</v>
      </c>
      <c r="I19" s="239">
        <f t="shared" si="1"/>
        <v>86.80425265791119</v>
      </c>
      <c r="J19" s="139">
        <f t="shared" si="2"/>
        <v>115.63400576368876</v>
      </c>
      <c r="K19" s="11"/>
    </row>
    <row r="20" spans="1:11" s="2" customFormat="1" ht="33" customHeight="1">
      <c r="A20" s="149" t="s">
        <v>9</v>
      </c>
      <c r="B20" s="150" t="s">
        <v>5</v>
      </c>
      <c r="C20" s="84" t="s">
        <v>8</v>
      </c>
      <c r="D20" s="151">
        <v>14.75</v>
      </c>
      <c r="E20" s="240">
        <v>15.38</v>
      </c>
      <c r="F20" s="151">
        <v>15.38</v>
      </c>
      <c r="G20" s="170">
        <v>15.55</v>
      </c>
      <c r="H20" s="234">
        <f t="shared" si="0"/>
        <v>104.27118644067797</v>
      </c>
      <c r="I20" s="235">
        <f t="shared" si="1"/>
        <v>100</v>
      </c>
      <c r="J20" s="236">
        <f t="shared" si="2"/>
        <v>101.10533159947985</v>
      </c>
      <c r="K20" s="22"/>
    </row>
    <row r="21" spans="1:11" s="2" customFormat="1" ht="33" customHeight="1">
      <c r="A21" s="149" t="s">
        <v>9</v>
      </c>
      <c r="B21" s="150" t="s">
        <v>6</v>
      </c>
      <c r="C21" s="84" t="s">
        <v>8</v>
      </c>
      <c r="D21" s="151">
        <v>16.97</v>
      </c>
      <c r="E21" s="240">
        <v>14.49</v>
      </c>
      <c r="F21" s="151">
        <v>6.72</v>
      </c>
      <c r="G21" s="170">
        <v>16.71</v>
      </c>
      <c r="H21" s="234">
        <f t="shared" si="0"/>
        <v>39.59929286977019</v>
      </c>
      <c r="I21" s="235">
        <f t="shared" si="1"/>
        <v>46.37681159420289</v>
      </c>
      <c r="J21" s="236">
        <f t="shared" si="2"/>
        <v>248.66071428571433</v>
      </c>
      <c r="K21" s="22"/>
    </row>
    <row r="22" spans="1:11" s="2" customFormat="1" ht="33" customHeight="1">
      <c r="A22" s="149" t="s">
        <v>9</v>
      </c>
      <c r="B22" s="150" t="s">
        <v>7</v>
      </c>
      <c r="C22" s="84" t="s">
        <v>8</v>
      </c>
      <c r="D22" s="151">
        <v>16.42</v>
      </c>
      <c r="E22" s="240">
        <v>17.53</v>
      </c>
      <c r="F22" s="151">
        <v>17.53</v>
      </c>
      <c r="G22" s="170">
        <v>16.02</v>
      </c>
      <c r="H22" s="234">
        <f t="shared" si="0"/>
        <v>106.76004872107185</v>
      </c>
      <c r="I22" s="235">
        <f t="shared" si="1"/>
        <v>100</v>
      </c>
      <c r="J22" s="236">
        <f t="shared" si="2"/>
        <v>91.38619509412435</v>
      </c>
      <c r="K22" s="22"/>
    </row>
    <row r="23" spans="1:11" ht="33" customHeight="1">
      <c r="A23" s="147">
        <v>3</v>
      </c>
      <c r="B23" s="38" t="s">
        <v>148</v>
      </c>
      <c r="C23" s="137" t="s">
        <v>8</v>
      </c>
      <c r="D23" s="154">
        <v>100</v>
      </c>
      <c r="E23" s="156">
        <v>100</v>
      </c>
      <c r="F23" s="154">
        <v>100</v>
      </c>
      <c r="G23" s="156">
        <v>100</v>
      </c>
      <c r="H23" s="138">
        <f t="shared" si="0"/>
        <v>100</v>
      </c>
      <c r="I23" s="239">
        <f t="shared" si="1"/>
        <v>100</v>
      </c>
      <c r="J23" s="139">
        <f t="shared" si="2"/>
        <v>100</v>
      </c>
      <c r="K23" s="11"/>
    </row>
    <row r="24" spans="1:11" s="2" customFormat="1" ht="33" customHeight="1">
      <c r="A24" s="149" t="s">
        <v>9</v>
      </c>
      <c r="B24" s="150" t="s">
        <v>5</v>
      </c>
      <c r="C24" s="84" t="s">
        <v>8</v>
      </c>
      <c r="D24" s="151">
        <v>40</v>
      </c>
      <c r="E24" s="240">
        <v>39.8</v>
      </c>
      <c r="F24" s="152">
        <v>40.9</v>
      </c>
      <c r="G24" s="153">
        <v>39.6</v>
      </c>
      <c r="H24" s="234">
        <f t="shared" si="0"/>
        <v>102.25</v>
      </c>
      <c r="I24" s="235">
        <f t="shared" si="1"/>
        <v>102.76381909547739</v>
      </c>
      <c r="J24" s="236">
        <f t="shared" si="2"/>
        <v>96.82151589242054</v>
      </c>
      <c r="K24" s="22"/>
    </row>
    <row r="25" spans="1:11" s="2" customFormat="1" ht="33" customHeight="1">
      <c r="A25" s="149" t="s">
        <v>9</v>
      </c>
      <c r="B25" s="150" t="s">
        <v>6</v>
      </c>
      <c r="C25" s="84" t="s">
        <v>8</v>
      </c>
      <c r="D25" s="151">
        <v>26</v>
      </c>
      <c r="E25" s="240">
        <v>25.7</v>
      </c>
      <c r="F25" s="152">
        <v>24.4</v>
      </c>
      <c r="G25" s="106">
        <v>25.9</v>
      </c>
      <c r="H25" s="234">
        <f t="shared" si="0"/>
        <v>93.84615384615384</v>
      </c>
      <c r="I25" s="235">
        <f t="shared" si="1"/>
        <v>94.94163424124513</v>
      </c>
      <c r="J25" s="236">
        <f t="shared" si="2"/>
        <v>106.14754098360655</v>
      </c>
      <c r="K25" s="22"/>
    </row>
    <row r="26" spans="1:11" s="2" customFormat="1" ht="33" customHeight="1">
      <c r="A26" s="149" t="s">
        <v>9</v>
      </c>
      <c r="B26" s="150" t="s">
        <v>7</v>
      </c>
      <c r="C26" s="84" t="s">
        <v>8</v>
      </c>
      <c r="D26" s="151">
        <v>34</v>
      </c>
      <c r="E26" s="240">
        <v>34.5</v>
      </c>
      <c r="F26" s="152">
        <v>35.1</v>
      </c>
      <c r="G26" s="106">
        <v>34.5</v>
      </c>
      <c r="H26" s="234">
        <f t="shared" si="0"/>
        <v>103.23529411764707</v>
      </c>
      <c r="I26" s="235">
        <f t="shared" si="1"/>
        <v>101.73913043478262</v>
      </c>
      <c r="J26" s="236">
        <f t="shared" si="2"/>
        <v>98.29059829059828</v>
      </c>
      <c r="K26" s="22"/>
    </row>
    <row r="27" spans="1:11" ht="33" customHeight="1">
      <c r="A27" s="147">
        <v>4</v>
      </c>
      <c r="B27" s="38" t="s">
        <v>10</v>
      </c>
      <c r="C27" s="137" t="s">
        <v>11</v>
      </c>
      <c r="D27" s="154">
        <v>11981</v>
      </c>
      <c r="E27" s="155">
        <v>13618.3</v>
      </c>
      <c r="F27" s="155">
        <v>12352</v>
      </c>
      <c r="G27" s="154">
        <v>12793</v>
      </c>
      <c r="H27" s="138">
        <f t="shared" si="0"/>
        <v>103.09656956848343</v>
      </c>
      <c r="I27" s="239">
        <f t="shared" si="1"/>
        <v>90.70148256390299</v>
      </c>
      <c r="J27" s="139">
        <f t="shared" si="2"/>
        <v>103.5702720207254</v>
      </c>
      <c r="K27" s="11"/>
    </row>
    <row r="28" spans="1:11" s="2" customFormat="1" ht="33" customHeight="1">
      <c r="A28" s="227"/>
      <c r="B28" s="150" t="s">
        <v>12</v>
      </c>
      <c r="C28" s="84" t="s">
        <v>13</v>
      </c>
      <c r="D28" s="168">
        <f>D27/D48*1000</f>
        <v>239.457169124995</v>
      </c>
      <c r="E28" s="168">
        <f>E27/E48*1000</f>
        <v>270.4888076747373</v>
      </c>
      <c r="F28" s="168">
        <f>F27/F48*1000</f>
        <v>243.66763986427839</v>
      </c>
      <c r="G28" s="168">
        <f>G27/G48*1000</f>
        <v>249.27903351519876</v>
      </c>
      <c r="H28" s="234">
        <f t="shared" si="0"/>
        <v>101.7583398127811</v>
      </c>
      <c r="I28" s="234">
        <f t="shared" si="1"/>
        <v>90.08418572249711</v>
      </c>
      <c r="J28" s="236">
        <f t="shared" si="2"/>
        <v>102.30288833348816</v>
      </c>
      <c r="K28" s="22"/>
    </row>
    <row r="29" spans="1:10" s="11" customFormat="1" ht="33" customHeight="1">
      <c r="A29" s="147">
        <v>5</v>
      </c>
      <c r="B29" s="38" t="s">
        <v>14</v>
      </c>
      <c r="C29" s="137" t="s">
        <v>294</v>
      </c>
      <c r="D29" s="148">
        <v>34.7</v>
      </c>
      <c r="E29" s="156">
        <v>36</v>
      </c>
      <c r="F29" s="154">
        <v>36</v>
      </c>
      <c r="G29" s="156">
        <v>39</v>
      </c>
      <c r="H29" s="138">
        <f t="shared" si="0"/>
        <v>103.74639769452449</v>
      </c>
      <c r="I29" s="138">
        <f t="shared" si="1"/>
        <v>100</v>
      </c>
      <c r="J29" s="139">
        <f t="shared" si="2"/>
        <v>108.33333333333333</v>
      </c>
    </row>
    <row r="30" spans="1:10" s="11" customFormat="1" ht="33" customHeight="1">
      <c r="A30" s="147">
        <v>6</v>
      </c>
      <c r="B30" s="38" t="s">
        <v>15</v>
      </c>
      <c r="C30" s="137" t="s">
        <v>4</v>
      </c>
      <c r="D30" s="158">
        <v>164.5</v>
      </c>
      <c r="E30" s="248">
        <v>176.02</v>
      </c>
      <c r="F30" s="247">
        <v>173</v>
      </c>
      <c r="G30" s="159">
        <v>188.34</v>
      </c>
      <c r="H30" s="138">
        <f t="shared" si="0"/>
        <v>105.16717325227964</v>
      </c>
      <c r="I30" s="241">
        <f t="shared" si="1"/>
        <v>98.28428587660493</v>
      </c>
      <c r="J30" s="139">
        <f t="shared" si="2"/>
        <v>108.86705202312139</v>
      </c>
    </row>
    <row r="31" spans="1:10" s="11" customFormat="1" ht="33" customHeight="1">
      <c r="A31" s="160">
        <v>7</v>
      </c>
      <c r="B31" s="161" t="s">
        <v>250</v>
      </c>
      <c r="C31" s="162"/>
      <c r="D31" s="148"/>
      <c r="E31" s="163" t="s">
        <v>9</v>
      </c>
      <c r="F31" s="165"/>
      <c r="G31" s="164"/>
      <c r="H31" s="138"/>
      <c r="I31" s="241"/>
      <c r="J31" s="139"/>
    </row>
    <row r="32" spans="1:10" s="11" customFormat="1" ht="33" customHeight="1">
      <c r="A32" s="160" t="s">
        <v>9</v>
      </c>
      <c r="B32" s="161" t="s">
        <v>251</v>
      </c>
      <c r="C32" s="162" t="s">
        <v>295</v>
      </c>
      <c r="D32" s="154">
        <v>6</v>
      </c>
      <c r="E32" s="163" t="s">
        <v>9</v>
      </c>
      <c r="F32" s="154">
        <v>11</v>
      </c>
      <c r="G32" s="156">
        <v>14</v>
      </c>
      <c r="H32" s="138">
        <f>F32/D32*100</f>
        <v>183.33333333333331</v>
      </c>
      <c r="I32" s="241"/>
      <c r="J32" s="139">
        <f t="shared" si="2"/>
        <v>127.27272727272727</v>
      </c>
    </row>
    <row r="33" spans="1:10" s="22" customFormat="1" ht="33" customHeight="1">
      <c r="A33" s="166"/>
      <c r="B33" s="167" t="s">
        <v>252</v>
      </c>
      <c r="C33" s="162" t="s">
        <v>295</v>
      </c>
      <c r="D33" s="168">
        <v>1</v>
      </c>
      <c r="E33" s="169" t="s">
        <v>9</v>
      </c>
      <c r="F33" s="168">
        <v>5</v>
      </c>
      <c r="G33" s="170">
        <v>3</v>
      </c>
      <c r="H33" s="234">
        <f>F33/D33*100</f>
        <v>500</v>
      </c>
      <c r="I33" s="242"/>
      <c r="J33" s="236">
        <f t="shared" si="2"/>
        <v>60</v>
      </c>
    </row>
    <row r="34" spans="1:10" s="22" customFormat="1" ht="33" customHeight="1">
      <c r="A34" s="166"/>
      <c r="B34" s="167" t="s">
        <v>253</v>
      </c>
      <c r="C34" s="162" t="s">
        <v>295</v>
      </c>
      <c r="D34" s="168">
        <v>0</v>
      </c>
      <c r="E34" s="169" t="s">
        <v>9</v>
      </c>
      <c r="F34" s="168">
        <v>0</v>
      </c>
      <c r="G34" s="170">
        <v>0</v>
      </c>
      <c r="H34" s="234"/>
      <c r="I34" s="242"/>
      <c r="J34" s="236"/>
    </row>
    <row r="35" spans="1:10" s="11" customFormat="1" ht="33" customHeight="1">
      <c r="A35" s="160" t="s">
        <v>9</v>
      </c>
      <c r="B35" s="161" t="s">
        <v>254</v>
      </c>
      <c r="C35" s="162" t="s">
        <v>18</v>
      </c>
      <c r="D35" s="154">
        <v>65</v>
      </c>
      <c r="E35" s="163" t="s">
        <v>9</v>
      </c>
      <c r="F35" s="154">
        <f>106+7</f>
        <v>113</v>
      </c>
      <c r="G35" s="156">
        <v>134</v>
      </c>
      <c r="H35" s="138">
        <f>F35/D35*100</f>
        <v>173.84615384615384</v>
      </c>
      <c r="I35" s="241"/>
      <c r="J35" s="139">
        <f t="shared" si="2"/>
        <v>118.58407079646018</v>
      </c>
    </row>
    <row r="36" spans="1:10" s="11" customFormat="1" ht="33" customHeight="1">
      <c r="A36" s="160" t="s">
        <v>9</v>
      </c>
      <c r="B36" s="161" t="s">
        <v>255</v>
      </c>
      <c r="C36" s="162" t="s">
        <v>8</v>
      </c>
      <c r="D36" s="148">
        <v>69.2</v>
      </c>
      <c r="E36" s="163" t="s">
        <v>9</v>
      </c>
      <c r="F36" s="165">
        <f>(42+5)/113*100</f>
        <v>41.5929203539823</v>
      </c>
      <c r="G36" s="156">
        <v>63.3</v>
      </c>
      <c r="H36" s="138">
        <f>F36/D36*100</f>
        <v>60.10537623407847</v>
      </c>
      <c r="I36" s="241"/>
      <c r="J36" s="139">
        <f t="shared" si="2"/>
        <v>152.18936170212766</v>
      </c>
    </row>
    <row r="37" spans="1:10" s="11" customFormat="1" ht="33" customHeight="1">
      <c r="A37" s="160">
        <v>8</v>
      </c>
      <c r="B37" s="161" t="s">
        <v>256</v>
      </c>
      <c r="C37" s="162"/>
      <c r="D37" s="148"/>
      <c r="E37" s="163"/>
      <c r="F37" s="165"/>
      <c r="G37" s="164"/>
      <c r="H37" s="138"/>
      <c r="I37" s="241"/>
      <c r="J37" s="139"/>
    </row>
    <row r="38" spans="1:10" s="11" customFormat="1" ht="33" customHeight="1">
      <c r="A38" s="160" t="s">
        <v>9</v>
      </c>
      <c r="B38" s="161" t="s">
        <v>257</v>
      </c>
      <c r="C38" s="162" t="s">
        <v>296</v>
      </c>
      <c r="D38" s="154">
        <v>34</v>
      </c>
      <c r="E38" s="163" t="s">
        <v>9</v>
      </c>
      <c r="F38" s="154">
        <v>63</v>
      </c>
      <c r="G38" s="156">
        <v>80</v>
      </c>
      <c r="H38" s="138">
        <f>F38/D38*100</f>
        <v>185.29411764705884</v>
      </c>
      <c r="I38" s="241"/>
      <c r="J38" s="139">
        <f t="shared" si="2"/>
        <v>126.98412698412697</v>
      </c>
    </row>
    <row r="39" spans="1:10" s="11" customFormat="1" ht="33" customHeight="1">
      <c r="A39" s="160" t="s">
        <v>9</v>
      </c>
      <c r="B39" s="161" t="s">
        <v>258</v>
      </c>
      <c r="C39" s="162" t="s">
        <v>259</v>
      </c>
      <c r="D39" s="154">
        <v>1639</v>
      </c>
      <c r="E39" s="163" t="s">
        <v>9</v>
      </c>
      <c r="F39" s="154">
        <v>1923</v>
      </c>
      <c r="G39" s="155">
        <v>2500</v>
      </c>
      <c r="H39" s="138">
        <f>F39/D39*100</f>
        <v>117.32763880414888</v>
      </c>
      <c r="I39" s="241"/>
      <c r="J39" s="139">
        <f t="shared" si="2"/>
        <v>130.00520020800832</v>
      </c>
    </row>
    <row r="40" spans="1:10" s="11" customFormat="1" ht="33" customHeight="1">
      <c r="A40" s="243">
        <v>9</v>
      </c>
      <c r="B40" s="172" t="s">
        <v>260</v>
      </c>
      <c r="C40" s="244"/>
      <c r="D40" s="148"/>
      <c r="E40" s="163" t="s">
        <v>9</v>
      </c>
      <c r="F40" s="165"/>
      <c r="G40" s="164"/>
      <c r="H40" s="138"/>
      <c r="I40" s="241"/>
      <c r="J40" s="139"/>
    </row>
    <row r="41" spans="1:10" s="11" customFormat="1" ht="33" customHeight="1">
      <c r="A41" s="173" t="s">
        <v>9</v>
      </c>
      <c r="B41" s="174" t="s">
        <v>261</v>
      </c>
      <c r="C41" s="201" t="s">
        <v>262</v>
      </c>
      <c r="D41" s="154">
        <v>5</v>
      </c>
      <c r="E41" s="163" t="s">
        <v>9</v>
      </c>
      <c r="F41" s="154">
        <v>3</v>
      </c>
      <c r="G41" s="155">
        <v>5</v>
      </c>
      <c r="H41" s="138">
        <f>F41/D41*100</f>
        <v>60</v>
      </c>
      <c r="I41" s="241"/>
      <c r="J41" s="139">
        <f t="shared" si="2"/>
        <v>166.66666666666669</v>
      </c>
    </row>
    <row r="42" spans="1:10" s="11" customFormat="1" ht="33" customHeight="1">
      <c r="A42" s="173" t="s">
        <v>9</v>
      </c>
      <c r="B42" s="174" t="s">
        <v>263</v>
      </c>
      <c r="C42" s="175" t="s">
        <v>4</v>
      </c>
      <c r="D42" s="154">
        <v>12</v>
      </c>
      <c r="E42" s="163" t="s">
        <v>9</v>
      </c>
      <c r="F42" s="154">
        <v>6</v>
      </c>
      <c r="G42" s="155">
        <v>10</v>
      </c>
      <c r="H42" s="138">
        <f>F42/D42*100</f>
        <v>50</v>
      </c>
      <c r="I42" s="241"/>
      <c r="J42" s="139">
        <f t="shared" si="2"/>
        <v>166.66666666666669</v>
      </c>
    </row>
    <row r="43" spans="1:10" s="11" customFormat="1" ht="33" customHeight="1">
      <c r="A43" s="173">
        <v>10</v>
      </c>
      <c r="B43" s="174" t="s">
        <v>180</v>
      </c>
      <c r="C43" s="175" t="s">
        <v>297</v>
      </c>
      <c r="D43" s="154">
        <v>40600</v>
      </c>
      <c r="E43" s="176">
        <v>32310</v>
      </c>
      <c r="F43" s="154">
        <v>46000</v>
      </c>
      <c r="G43" s="155">
        <v>40342</v>
      </c>
      <c r="H43" s="138">
        <f>F43/D43*100</f>
        <v>113.30049261083744</v>
      </c>
      <c r="I43" s="343">
        <f>F43/E43*100</f>
        <v>142.37078303930673</v>
      </c>
      <c r="J43" s="139">
        <f t="shared" si="2"/>
        <v>87.7</v>
      </c>
    </row>
    <row r="44" spans="1:10" s="11" customFormat="1" ht="33" customHeight="1">
      <c r="A44" s="173">
        <v>11</v>
      </c>
      <c r="B44" s="174" t="s">
        <v>284</v>
      </c>
      <c r="C44" s="175"/>
      <c r="D44" s="148"/>
      <c r="E44" s="163" t="s">
        <v>9</v>
      </c>
      <c r="F44" s="165"/>
      <c r="G44" s="164"/>
      <c r="H44" s="138"/>
      <c r="I44" s="241"/>
      <c r="J44" s="139"/>
    </row>
    <row r="45" spans="1:10" s="11" customFormat="1" ht="33" customHeight="1">
      <c r="A45" s="177" t="s">
        <v>9</v>
      </c>
      <c r="B45" s="178" t="s">
        <v>265</v>
      </c>
      <c r="C45" s="179" t="s">
        <v>264</v>
      </c>
      <c r="D45" s="154">
        <v>9</v>
      </c>
      <c r="E45" s="163" t="s">
        <v>9</v>
      </c>
      <c r="F45" s="154">
        <v>11</v>
      </c>
      <c r="G45" s="156">
        <v>13</v>
      </c>
      <c r="H45" s="138">
        <f>F45/D45*100</f>
        <v>122.22222222222223</v>
      </c>
      <c r="I45" s="241"/>
      <c r="J45" s="139">
        <f t="shared" si="2"/>
        <v>118.18181818181819</v>
      </c>
    </row>
    <row r="46" spans="1:10" s="11" customFormat="1" ht="33" customHeight="1">
      <c r="A46" s="177" t="s">
        <v>9</v>
      </c>
      <c r="B46" s="178" t="s">
        <v>266</v>
      </c>
      <c r="C46" s="179" t="s">
        <v>264</v>
      </c>
      <c r="D46" s="154">
        <v>11</v>
      </c>
      <c r="E46" s="163" t="s">
        <v>9</v>
      </c>
      <c r="F46" s="154">
        <v>13</v>
      </c>
      <c r="G46" s="156">
        <v>18</v>
      </c>
      <c r="H46" s="138">
        <f>F46/D46*100</f>
        <v>118.18181818181819</v>
      </c>
      <c r="I46" s="241"/>
      <c r="J46" s="139">
        <f t="shared" si="2"/>
        <v>138.46153846153845</v>
      </c>
    </row>
    <row r="47" spans="1:10" s="11" customFormat="1" ht="33" customHeight="1">
      <c r="A47" s="180" t="s">
        <v>16</v>
      </c>
      <c r="B47" s="532" t="s">
        <v>149</v>
      </c>
      <c r="C47" s="181"/>
      <c r="D47" s="181"/>
      <c r="E47" s="181"/>
      <c r="F47" s="181"/>
      <c r="G47" s="181"/>
      <c r="H47" s="234"/>
      <c r="I47" s="242"/>
      <c r="J47" s="139"/>
    </row>
    <row r="48" spans="1:10" s="11" customFormat="1" ht="33" customHeight="1">
      <c r="A48" s="147">
        <v>1</v>
      </c>
      <c r="B48" s="35" t="s">
        <v>192</v>
      </c>
      <c r="C48" s="182" t="s">
        <v>18</v>
      </c>
      <c r="D48" s="154">
        <v>50034</v>
      </c>
      <c r="E48" s="155">
        <v>50347</v>
      </c>
      <c r="F48" s="154">
        <v>50692</v>
      </c>
      <c r="G48" s="155">
        <v>51320</v>
      </c>
      <c r="H48" s="138">
        <f>F48/D48*100</f>
        <v>101.3151057281049</v>
      </c>
      <c r="I48" s="241">
        <f>F48/E48*100</f>
        <v>100.68524440383737</v>
      </c>
      <c r="J48" s="139">
        <f t="shared" si="2"/>
        <v>101.23885425708198</v>
      </c>
    </row>
    <row r="49" spans="1:10" s="11" customFormat="1" ht="33" customHeight="1">
      <c r="A49" s="147"/>
      <c r="B49" s="183" t="s">
        <v>19</v>
      </c>
      <c r="C49" s="182" t="s">
        <v>8</v>
      </c>
      <c r="D49" s="148">
        <v>1.49</v>
      </c>
      <c r="E49" s="156">
        <v>1.48</v>
      </c>
      <c r="F49" s="148">
        <v>1.43</v>
      </c>
      <c r="G49" s="156">
        <v>1.46</v>
      </c>
      <c r="H49" s="138">
        <f>F49/D49*100</f>
        <v>95.9731543624161</v>
      </c>
      <c r="I49" s="241">
        <f>F49/E49*100</f>
        <v>96.62162162162163</v>
      </c>
      <c r="J49" s="139">
        <f t="shared" si="2"/>
        <v>102.09790209790211</v>
      </c>
    </row>
    <row r="50" spans="1:10" s="11" customFormat="1" ht="33" customHeight="1">
      <c r="A50" s="147">
        <v>2</v>
      </c>
      <c r="B50" s="183" t="s">
        <v>193</v>
      </c>
      <c r="C50" s="182"/>
      <c r="D50" s="148"/>
      <c r="E50" s="164" t="s">
        <v>9</v>
      </c>
      <c r="F50" s="148"/>
      <c r="G50" s="163"/>
      <c r="H50" s="138"/>
      <c r="I50" s="241"/>
      <c r="J50" s="139"/>
    </row>
    <row r="51" spans="1:10" s="11" customFormat="1" ht="38.25" customHeight="1">
      <c r="A51" s="184" t="s">
        <v>9</v>
      </c>
      <c r="B51" s="183" t="s">
        <v>194</v>
      </c>
      <c r="C51" s="182" t="s">
        <v>18</v>
      </c>
      <c r="D51" s="148"/>
      <c r="E51" s="163" t="s">
        <v>9</v>
      </c>
      <c r="F51" s="148"/>
      <c r="G51" s="163"/>
      <c r="H51" s="138"/>
      <c r="I51" s="241"/>
      <c r="J51" s="139"/>
    </row>
    <row r="52" spans="1:10" s="11" customFormat="1" ht="33" customHeight="1">
      <c r="A52" s="184" t="s">
        <v>9</v>
      </c>
      <c r="B52" s="183" t="s">
        <v>318</v>
      </c>
      <c r="C52" s="182" t="s">
        <v>8</v>
      </c>
      <c r="D52" s="185" t="s">
        <v>9</v>
      </c>
      <c r="E52" s="163" t="s">
        <v>9</v>
      </c>
      <c r="F52" s="185" t="s">
        <v>9</v>
      </c>
      <c r="G52" s="163">
        <v>8.5</v>
      </c>
      <c r="H52" s="138"/>
      <c r="I52" s="241"/>
      <c r="J52" s="139"/>
    </row>
    <row r="53" spans="1:10" s="11" customFormat="1" ht="33" customHeight="1">
      <c r="A53" s="184" t="s">
        <v>9</v>
      </c>
      <c r="B53" s="183" t="s">
        <v>170</v>
      </c>
      <c r="C53" s="182" t="s">
        <v>18</v>
      </c>
      <c r="D53" s="154">
        <v>277</v>
      </c>
      <c r="E53" s="156">
        <v>210</v>
      </c>
      <c r="F53" s="154">
        <v>98</v>
      </c>
      <c r="G53" s="157">
        <v>395</v>
      </c>
      <c r="H53" s="138">
        <f>F53/D53*100</f>
        <v>35.37906137184115</v>
      </c>
      <c r="I53" s="241">
        <f>F53/E53*100</f>
        <v>46.666666666666664</v>
      </c>
      <c r="J53" s="139">
        <f t="shared" si="2"/>
        <v>403.0612244897959</v>
      </c>
    </row>
    <row r="54" spans="1:10" s="11" customFormat="1" ht="33" customHeight="1">
      <c r="A54" s="184">
        <v>3</v>
      </c>
      <c r="B54" s="183" t="s">
        <v>196</v>
      </c>
      <c r="C54" s="182"/>
      <c r="D54" s="154"/>
      <c r="E54" s="156"/>
      <c r="F54" s="154"/>
      <c r="G54" s="157"/>
      <c r="H54" s="234"/>
      <c r="I54" s="242"/>
      <c r="J54" s="139"/>
    </row>
    <row r="55" spans="1:10" s="11" customFormat="1" ht="33" customHeight="1">
      <c r="A55" s="184" t="s">
        <v>9</v>
      </c>
      <c r="B55" s="183" t="s">
        <v>195</v>
      </c>
      <c r="C55" s="182" t="s">
        <v>197</v>
      </c>
      <c r="D55" s="154">
        <v>3029</v>
      </c>
      <c r="E55" s="157" t="s">
        <v>9</v>
      </c>
      <c r="F55" s="154">
        <v>2532</v>
      </c>
      <c r="G55" s="176">
        <v>2306</v>
      </c>
      <c r="H55" s="138">
        <f>F55/D55*100</f>
        <v>83.59194453615054</v>
      </c>
      <c r="I55" s="241"/>
      <c r="J55" s="139">
        <f t="shared" si="2"/>
        <v>91.07424960505529</v>
      </c>
    </row>
    <row r="56" spans="1:10" s="11" customFormat="1" ht="33" customHeight="1">
      <c r="A56" s="184" t="s">
        <v>9</v>
      </c>
      <c r="B56" s="183" t="s">
        <v>150</v>
      </c>
      <c r="C56" s="182" t="s">
        <v>8</v>
      </c>
      <c r="D56" s="148">
        <v>23.06</v>
      </c>
      <c r="E56" s="156">
        <v>21.78</v>
      </c>
      <c r="F56" s="148">
        <v>18.91</v>
      </c>
      <c r="G56" s="156">
        <v>17.23</v>
      </c>
      <c r="H56" s="138">
        <f>F56/D56*100</f>
        <v>82.00346921075456</v>
      </c>
      <c r="I56" s="241">
        <f>F56/E56*100</f>
        <v>86.82277318640953</v>
      </c>
      <c r="J56" s="139">
        <f t="shared" si="2"/>
        <v>91.1158117398202</v>
      </c>
    </row>
    <row r="57" spans="1:10" s="11" customFormat="1" ht="33" customHeight="1">
      <c r="A57" s="184" t="s">
        <v>9</v>
      </c>
      <c r="B57" s="183" t="s">
        <v>20</v>
      </c>
      <c r="C57" s="182" t="s">
        <v>8</v>
      </c>
      <c r="D57" s="185" t="s">
        <v>9</v>
      </c>
      <c r="E57" s="156">
        <v>6</v>
      </c>
      <c r="F57" s="165">
        <v>5.6</v>
      </c>
      <c r="G57" s="156">
        <v>6</v>
      </c>
      <c r="H57" s="138"/>
      <c r="I57" s="241">
        <f>F57/E57*100</f>
        <v>93.33333333333333</v>
      </c>
      <c r="J57" s="139">
        <f t="shared" si="2"/>
        <v>107.14285714285714</v>
      </c>
    </row>
    <row r="58" spans="1:242" s="80" customFormat="1" ht="33" customHeight="1">
      <c r="A58" s="186" t="s">
        <v>9</v>
      </c>
      <c r="B58" s="178" t="s">
        <v>267</v>
      </c>
      <c r="C58" s="179" t="s">
        <v>197</v>
      </c>
      <c r="D58" s="185" t="s">
        <v>9</v>
      </c>
      <c r="E58" s="187" t="s">
        <v>9</v>
      </c>
      <c r="F58" s="187" t="s">
        <v>9</v>
      </c>
      <c r="G58" s="187" t="s">
        <v>9</v>
      </c>
      <c r="H58" s="138"/>
      <c r="I58" s="241"/>
      <c r="J58" s="139"/>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row>
    <row r="59" spans="1:10" s="11" customFormat="1" ht="33" customHeight="1">
      <c r="A59" s="184" t="s">
        <v>9</v>
      </c>
      <c r="B59" s="183" t="s">
        <v>198</v>
      </c>
      <c r="C59" s="182" t="s">
        <v>197</v>
      </c>
      <c r="D59" s="154">
        <v>1264</v>
      </c>
      <c r="E59" s="157" t="s">
        <v>9</v>
      </c>
      <c r="F59" s="154">
        <v>1126</v>
      </c>
      <c r="G59" s="156">
        <v>983</v>
      </c>
      <c r="H59" s="138">
        <f>F59/D59*100</f>
        <v>89.08227848101265</v>
      </c>
      <c r="I59" s="241"/>
      <c r="J59" s="139">
        <f t="shared" si="2"/>
        <v>87.30017761989343</v>
      </c>
    </row>
    <row r="60" spans="1:10" s="11" customFormat="1" ht="33" customHeight="1">
      <c r="A60" s="184" t="s">
        <v>9</v>
      </c>
      <c r="B60" s="183" t="s">
        <v>199</v>
      </c>
      <c r="C60" s="182" t="s">
        <v>8</v>
      </c>
      <c r="D60" s="148">
        <v>9.62</v>
      </c>
      <c r="E60" s="157" t="s">
        <v>9</v>
      </c>
      <c r="F60" s="157">
        <v>9.16</v>
      </c>
      <c r="G60" s="156">
        <v>7.52</v>
      </c>
      <c r="H60" s="138"/>
      <c r="I60" s="241"/>
      <c r="J60" s="139"/>
    </row>
    <row r="61" spans="1:10" s="11" customFormat="1" ht="33" customHeight="1">
      <c r="A61" s="184">
        <v>4</v>
      </c>
      <c r="B61" s="183" t="s">
        <v>200</v>
      </c>
      <c r="C61" s="182"/>
      <c r="D61" s="148"/>
      <c r="E61" s="157"/>
      <c r="F61" s="148"/>
      <c r="G61" s="156"/>
      <c r="H61" s="138"/>
      <c r="I61" s="241"/>
      <c r="J61" s="139"/>
    </row>
    <row r="62" spans="1:10" s="11" customFormat="1" ht="33" customHeight="1">
      <c r="A62" s="184" t="s">
        <v>9</v>
      </c>
      <c r="B62" s="183" t="s">
        <v>202</v>
      </c>
      <c r="C62" s="182" t="s">
        <v>8</v>
      </c>
      <c r="D62" s="165">
        <v>11.6</v>
      </c>
      <c r="E62" s="148">
        <v>11.09</v>
      </c>
      <c r="F62" s="165">
        <v>14.3</v>
      </c>
      <c r="G62" s="148">
        <v>15.64</v>
      </c>
      <c r="H62" s="138">
        <f aca="true" t="shared" si="3" ref="H62:H70">F62/D62*100</f>
        <v>123.27586206896552</v>
      </c>
      <c r="I62" s="241">
        <f aca="true" t="shared" si="4" ref="I62:I67">F62/E62*100</f>
        <v>128.94499549143373</v>
      </c>
      <c r="J62" s="139">
        <f t="shared" si="2"/>
        <v>109.37062937062937</v>
      </c>
    </row>
    <row r="63" spans="1:10" s="11" customFormat="1" ht="33" customHeight="1">
      <c r="A63" s="184" t="s">
        <v>9</v>
      </c>
      <c r="B63" s="183" t="s">
        <v>21</v>
      </c>
      <c r="C63" s="182" t="s">
        <v>8</v>
      </c>
      <c r="D63" s="148">
        <v>99</v>
      </c>
      <c r="E63" s="156">
        <v>99.58</v>
      </c>
      <c r="F63" s="165">
        <v>90</v>
      </c>
      <c r="G63" s="156">
        <v>90.8</v>
      </c>
      <c r="H63" s="138">
        <f t="shared" si="3"/>
        <v>90.9090909090909</v>
      </c>
      <c r="I63" s="241">
        <f t="shared" si="4"/>
        <v>90.3795942960434</v>
      </c>
      <c r="J63" s="139">
        <f t="shared" si="2"/>
        <v>100.8888888888889</v>
      </c>
    </row>
    <row r="64" spans="1:10" s="11" customFormat="1" ht="33" customHeight="1">
      <c r="A64" s="184" t="s">
        <v>9</v>
      </c>
      <c r="B64" s="183" t="s">
        <v>201</v>
      </c>
      <c r="C64" s="182" t="s">
        <v>8</v>
      </c>
      <c r="D64" s="148">
        <v>6.4</v>
      </c>
      <c r="E64" s="156">
        <v>8</v>
      </c>
      <c r="F64" s="165">
        <v>6.5</v>
      </c>
      <c r="G64" s="156">
        <v>6.5</v>
      </c>
      <c r="H64" s="138">
        <f t="shared" si="3"/>
        <v>101.5625</v>
      </c>
      <c r="I64" s="241">
        <f t="shared" si="4"/>
        <v>81.25</v>
      </c>
      <c r="J64" s="139">
        <f t="shared" si="2"/>
        <v>100</v>
      </c>
    </row>
    <row r="65" spans="1:11" ht="37.5" customHeight="1">
      <c r="A65" s="184" t="s">
        <v>9</v>
      </c>
      <c r="B65" s="183" t="s">
        <v>293</v>
      </c>
      <c r="C65" s="182" t="s">
        <v>8</v>
      </c>
      <c r="D65" s="148">
        <v>26.25</v>
      </c>
      <c r="E65" s="245">
        <v>28.1</v>
      </c>
      <c r="F65" s="246">
        <v>25.9</v>
      </c>
      <c r="G65" s="245">
        <v>27.43</v>
      </c>
      <c r="H65" s="138">
        <f t="shared" si="3"/>
        <v>98.66666666666666</v>
      </c>
      <c r="I65" s="241">
        <f t="shared" si="4"/>
        <v>92.17081850533808</v>
      </c>
      <c r="J65" s="139">
        <f t="shared" si="2"/>
        <v>105.90733590733592</v>
      </c>
      <c r="K65" s="11"/>
    </row>
    <row r="66" spans="1:11" ht="33" customHeight="1">
      <c r="A66" s="184" t="s">
        <v>9</v>
      </c>
      <c r="B66" s="183" t="s">
        <v>22</v>
      </c>
      <c r="C66" s="182" t="s">
        <v>8</v>
      </c>
      <c r="D66" s="148">
        <v>6.86</v>
      </c>
      <c r="E66" s="156">
        <v>7.6</v>
      </c>
      <c r="F66" s="148">
        <v>6.8</v>
      </c>
      <c r="G66" s="156">
        <v>7.6</v>
      </c>
      <c r="H66" s="138">
        <f t="shared" si="3"/>
        <v>99.12536443148687</v>
      </c>
      <c r="I66" s="241">
        <f t="shared" si="4"/>
        <v>89.47368421052632</v>
      </c>
      <c r="J66" s="139">
        <f t="shared" si="2"/>
        <v>111.76470588235294</v>
      </c>
      <c r="K66" s="11"/>
    </row>
    <row r="67" spans="1:11" ht="33" customHeight="1">
      <c r="A67" s="184" t="s">
        <v>9</v>
      </c>
      <c r="B67" s="183" t="s">
        <v>23</v>
      </c>
      <c r="C67" s="182" t="s">
        <v>8</v>
      </c>
      <c r="D67" s="247">
        <v>100</v>
      </c>
      <c r="E67" s="248">
        <v>100</v>
      </c>
      <c r="F67" s="247">
        <v>100</v>
      </c>
      <c r="G67" s="248">
        <v>100</v>
      </c>
      <c r="H67" s="138">
        <f t="shared" si="3"/>
        <v>100</v>
      </c>
      <c r="I67" s="241">
        <f t="shared" si="4"/>
        <v>100</v>
      </c>
      <c r="J67" s="139">
        <f t="shared" si="2"/>
        <v>100</v>
      </c>
      <c r="K67" s="11"/>
    </row>
    <row r="68" spans="1:11" ht="36" customHeight="1">
      <c r="A68" s="184" t="s">
        <v>9</v>
      </c>
      <c r="B68" s="183" t="s">
        <v>203</v>
      </c>
      <c r="C68" s="182" t="s">
        <v>8</v>
      </c>
      <c r="D68" s="247">
        <v>100</v>
      </c>
      <c r="E68" s="249" t="s">
        <v>9</v>
      </c>
      <c r="F68" s="247">
        <v>100</v>
      </c>
      <c r="G68" s="248">
        <v>100</v>
      </c>
      <c r="H68" s="138">
        <f t="shared" si="3"/>
        <v>100</v>
      </c>
      <c r="I68" s="241"/>
      <c r="J68" s="139">
        <f t="shared" si="2"/>
        <v>100</v>
      </c>
      <c r="K68" s="11"/>
    </row>
    <row r="69" spans="1:11" ht="37.5" customHeight="1">
      <c r="A69" s="184" t="s">
        <v>9</v>
      </c>
      <c r="B69" s="183" t="s">
        <v>24</v>
      </c>
      <c r="C69" s="182" t="s">
        <v>8</v>
      </c>
      <c r="D69" s="148">
        <v>16.5</v>
      </c>
      <c r="E69" s="156">
        <v>16.1</v>
      </c>
      <c r="F69" s="148">
        <v>16.2</v>
      </c>
      <c r="G69" s="156">
        <v>15.8</v>
      </c>
      <c r="H69" s="138">
        <f t="shared" si="3"/>
        <v>98.18181818181819</v>
      </c>
      <c r="I69" s="241">
        <f>F69/E69*100</f>
        <v>100.62111801242236</v>
      </c>
      <c r="J69" s="139">
        <f t="shared" si="2"/>
        <v>97.53086419753087</v>
      </c>
      <c r="K69" s="11"/>
    </row>
    <row r="70" spans="1:11" ht="39" customHeight="1">
      <c r="A70" s="184" t="s">
        <v>9</v>
      </c>
      <c r="B70" s="183" t="s">
        <v>204</v>
      </c>
      <c r="C70" s="182" t="s">
        <v>8</v>
      </c>
      <c r="D70" s="148">
        <v>27.6</v>
      </c>
      <c r="E70" s="157" t="s">
        <v>9</v>
      </c>
      <c r="F70" s="165">
        <v>27.2</v>
      </c>
      <c r="G70" s="156">
        <v>27</v>
      </c>
      <c r="H70" s="138">
        <f t="shared" si="3"/>
        <v>98.55072463768116</v>
      </c>
      <c r="I70" s="241"/>
      <c r="J70" s="139">
        <f t="shared" si="2"/>
        <v>99.26470588235294</v>
      </c>
      <c r="K70" s="11"/>
    </row>
    <row r="71" spans="1:11" ht="33" customHeight="1">
      <c r="A71" s="186" t="s">
        <v>9</v>
      </c>
      <c r="B71" s="188" t="s">
        <v>269</v>
      </c>
      <c r="C71" s="189" t="s">
        <v>270</v>
      </c>
      <c r="D71" s="148">
        <v>31.61</v>
      </c>
      <c r="E71" s="157" t="s">
        <v>9</v>
      </c>
      <c r="F71" s="148" t="s">
        <v>285</v>
      </c>
      <c r="G71" s="156" t="s">
        <v>285</v>
      </c>
      <c r="H71" s="138"/>
      <c r="I71" s="241"/>
      <c r="J71" s="139"/>
      <c r="K71" s="11"/>
    </row>
    <row r="72" spans="1:11" ht="33" customHeight="1">
      <c r="A72" s="186" t="s">
        <v>9</v>
      </c>
      <c r="B72" s="190" t="s">
        <v>271</v>
      </c>
      <c r="C72" s="189" t="s">
        <v>270</v>
      </c>
      <c r="D72" s="148">
        <v>24.24</v>
      </c>
      <c r="E72" s="157" t="s">
        <v>9</v>
      </c>
      <c r="F72" s="148" t="s">
        <v>286</v>
      </c>
      <c r="G72" s="156" t="s">
        <v>286</v>
      </c>
      <c r="H72" s="138"/>
      <c r="I72" s="241"/>
      <c r="J72" s="139"/>
      <c r="K72" s="11"/>
    </row>
    <row r="73" spans="1:11" ht="33">
      <c r="A73" s="184" t="s">
        <v>9</v>
      </c>
      <c r="B73" s="183" t="s">
        <v>158</v>
      </c>
      <c r="C73" s="182" t="s">
        <v>160</v>
      </c>
      <c r="D73" s="164">
        <v>142</v>
      </c>
      <c r="E73" s="156">
        <v>142</v>
      </c>
      <c r="F73" s="164">
        <v>142</v>
      </c>
      <c r="G73" s="156">
        <v>142</v>
      </c>
      <c r="H73" s="138">
        <f>F73/D73*100</f>
        <v>100</v>
      </c>
      <c r="I73" s="138">
        <f>F73/E73*100</f>
        <v>100</v>
      </c>
      <c r="J73" s="139">
        <f>G73/F73*100</f>
        <v>100</v>
      </c>
      <c r="K73" s="11">
        <f>125-105.6</f>
        <v>19.400000000000006</v>
      </c>
    </row>
    <row r="74" spans="1:11" ht="33" customHeight="1">
      <c r="A74" s="184" t="s">
        <v>9</v>
      </c>
      <c r="B74" s="183" t="s">
        <v>159</v>
      </c>
      <c r="C74" s="182" t="s">
        <v>160</v>
      </c>
      <c r="D74" s="164">
        <v>39</v>
      </c>
      <c r="E74" s="156">
        <v>57</v>
      </c>
      <c r="F74" s="164">
        <v>57</v>
      </c>
      <c r="G74" s="156">
        <v>57</v>
      </c>
      <c r="H74" s="138">
        <f>F74/D74*100</f>
        <v>146.15384615384613</v>
      </c>
      <c r="I74" s="138">
        <f>F74/E74*100</f>
        <v>100</v>
      </c>
      <c r="J74" s="139">
        <f>G74/F74*100</f>
        <v>100</v>
      </c>
      <c r="K74" s="11"/>
    </row>
    <row r="75" spans="1:11" ht="33" customHeight="1">
      <c r="A75" s="191">
        <v>5</v>
      </c>
      <c r="B75" s="183" t="s">
        <v>205</v>
      </c>
      <c r="C75" s="182"/>
      <c r="D75" s="247"/>
      <c r="E75" s="250"/>
      <c r="F75" s="148"/>
      <c r="G75" s="164"/>
      <c r="H75" s="114"/>
      <c r="I75" s="138"/>
      <c r="J75" s="115"/>
      <c r="K75" s="11"/>
    </row>
    <row r="76" spans="1:11" ht="33" customHeight="1">
      <c r="A76" s="184" t="s">
        <v>9</v>
      </c>
      <c r="B76" s="237" t="s">
        <v>206</v>
      </c>
      <c r="C76" s="182" t="s">
        <v>116</v>
      </c>
      <c r="D76" s="154">
        <v>14215</v>
      </c>
      <c r="E76" s="154">
        <v>14750</v>
      </c>
      <c r="F76" s="154">
        <f>F77+F78+F79+F80+F81+F82</f>
        <v>14919</v>
      </c>
      <c r="G76" s="154">
        <f>G77+G78+G79+G80+G81+G82</f>
        <v>15691</v>
      </c>
      <c r="H76" s="138">
        <f aca="true" t="shared" si="5" ref="H76:H82">F76/D76*100</f>
        <v>104.95251494899753</v>
      </c>
      <c r="I76" s="138">
        <f aca="true" t="shared" si="6" ref="I76:I82">F76/E76*100</f>
        <v>101.14576271186442</v>
      </c>
      <c r="J76" s="139">
        <f aca="true" t="shared" si="7" ref="J76:J111">G76/F76*100</f>
        <v>105.17460955828139</v>
      </c>
      <c r="K76" s="11"/>
    </row>
    <row r="77" spans="1:11" s="2" customFormat="1" ht="33" customHeight="1">
      <c r="A77" s="227"/>
      <c r="B77" s="251" t="s">
        <v>246</v>
      </c>
      <c r="C77" s="228" t="s">
        <v>116</v>
      </c>
      <c r="D77" s="192">
        <v>230</v>
      </c>
      <c r="E77" s="170">
        <v>300</v>
      </c>
      <c r="F77" s="192">
        <v>223</v>
      </c>
      <c r="G77" s="170">
        <v>255</v>
      </c>
      <c r="H77" s="234">
        <f t="shared" si="5"/>
        <v>96.95652173913044</v>
      </c>
      <c r="I77" s="234">
        <f t="shared" si="6"/>
        <v>74.33333333333333</v>
      </c>
      <c r="J77" s="236">
        <f t="shared" si="7"/>
        <v>114.34977578475336</v>
      </c>
      <c r="K77" s="22"/>
    </row>
    <row r="78" spans="1:11" s="2" customFormat="1" ht="33" customHeight="1">
      <c r="A78" s="227"/>
      <c r="B78" s="251" t="s">
        <v>247</v>
      </c>
      <c r="C78" s="228" t="s">
        <v>116</v>
      </c>
      <c r="D78" s="192">
        <v>3550</v>
      </c>
      <c r="E78" s="192">
        <v>3500</v>
      </c>
      <c r="F78" s="192">
        <v>3594</v>
      </c>
      <c r="G78" s="192">
        <v>3595</v>
      </c>
      <c r="H78" s="234">
        <f t="shared" si="5"/>
        <v>101.2394366197183</v>
      </c>
      <c r="I78" s="234">
        <f t="shared" si="6"/>
        <v>102.6857142857143</v>
      </c>
      <c r="J78" s="236">
        <f t="shared" si="7"/>
        <v>100.02782415136338</v>
      </c>
      <c r="K78" s="22"/>
    </row>
    <row r="79" spans="1:11" s="2" customFormat="1" ht="33" customHeight="1">
      <c r="A79" s="227"/>
      <c r="B79" s="252" t="s">
        <v>243</v>
      </c>
      <c r="C79" s="228" t="s">
        <v>116</v>
      </c>
      <c r="D79" s="192">
        <v>6000</v>
      </c>
      <c r="E79" s="192">
        <v>6300</v>
      </c>
      <c r="F79" s="192">
        <v>6283</v>
      </c>
      <c r="G79" s="192">
        <v>6425</v>
      </c>
      <c r="H79" s="234">
        <f t="shared" si="5"/>
        <v>104.71666666666665</v>
      </c>
      <c r="I79" s="344">
        <f t="shared" si="6"/>
        <v>99.73015873015873</v>
      </c>
      <c r="J79" s="236">
        <f t="shared" si="7"/>
        <v>102.26006684704758</v>
      </c>
      <c r="K79" s="22"/>
    </row>
    <row r="80" spans="1:11" s="2" customFormat="1" ht="33" customHeight="1">
      <c r="A80" s="227"/>
      <c r="B80" s="251" t="s">
        <v>248</v>
      </c>
      <c r="C80" s="228" t="s">
        <v>116</v>
      </c>
      <c r="D80" s="192">
        <v>3470</v>
      </c>
      <c r="E80" s="192">
        <v>3500</v>
      </c>
      <c r="F80" s="192">
        <v>3702</v>
      </c>
      <c r="G80" s="192">
        <v>4240</v>
      </c>
      <c r="H80" s="234">
        <f t="shared" si="5"/>
        <v>106.68587896253602</v>
      </c>
      <c r="I80" s="344">
        <f t="shared" si="6"/>
        <v>105.77142857142856</v>
      </c>
      <c r="J80" s="236">
        <f t="shared" si="7"/>
        <v>114.53268503511616</v>
      </c>
      <c r="K80" s="22"/>
    </row>
    <row r="81" spans="1:11" s="2" customFormat="1" ht="33" customHeight="1">
      <c r="A81" s="227"/>
      <c r="B81" s="251" t="s">
        <v>249</v>
      </c>
      <c r="C81" s="228" t="s">
        <v>116</v>
      </c>
      <c r="D81" s="192">
        <v>965</v>
      </c>
      <c r="E81" s="170">
        <v>1090</v>
      </c>
      <c r="F81" s="192">
        <f>506+411+140</f>
        <v>1057</v>
      </c>
      <c r="G81" s="192">
        <f>506+460+150</f>
        <v>1116</v>
      </c>
      <c r="H81" s="234">
        <f t="shared" si="5"/>
        <v>109.53367875647669</v>
      </c>
      <c r="I81" s="344">
        <f t="shared" si="6"/>
        <v>96.97247706422019</v>
      </c>
      <c r="J81" s="236">
        <f t="shared" si="7"/>
        <v>105.58183538315988</v>
      </c>
      <c r="K81" s="22"/>
    </row>
    <row r="82" spans="1:11" s="2" customFormat="1" ht="33" customHeight="1">
      <c r="A82" s="227"/>
      <c r="B82" s="251" t="s">
        <v>124</v>
      </c>
      <c r="C82" s="228" t="s">
        <v>116</v>
      </c>
      <c r="D82" s="193">
        <v>51</v>
      </c>
      <c r="E82" s="170">
        <v>60</v>
      </c>
      <c r="F82" s="192">
        <v>60</v>
      </c>
      <c r="G82" s="170">
        <v>60</v>
      </c>
      <c r="H82" s="234">
        <f t="shared" si="5"/>
        <v>117.64705882352942</v>
      </c>
      <c r="I82" s="344">
        <f t="shared" si="6"/>
        <v>100</v>
      </c>
      <c r="J82" s="236">
        <f t="shared" si="7"/>
        <v>100</v>
      </c>
      <c r="K82" s="22"/>
    </row>
    <row r="83" spans="1:11" ht="33" customHeight="1">
      <c r="A83" s="184" t="s">
        <v>9</v>
      </c>
      <c r="B83" s="183" t="s">
        <v>207</v>
      </c>
      <c r="C83" s="182"/>
      <c r="D83" s="155"/>
      <c r="E83" s="163"/>
      <c r="F83" s="155"/>
      <c r="G83" s="164"/>
      <c r="H83" s="234"/>
      <c r="I83" s="242"/>
      <c r="J83" s="236"/>
      <c r="K83" s="11"/>
    </row>
    <row r="84" spans="1:11" s="2" customFormat="1" ht="33" customHeight="1">
      <c r="A84" s="227"/>
      <c r="B84" s="252" t="s">
        <v>243</v>
      </c>
      <c r="C84" s="182" t="s">
        <v>8</v>
      </c>
      <c r="D84" s="192">
        <v>92</v>
      </c>
      <c r="E84" s="169" t="s">
        <v>9</v>
      </c>
      <c r="F84" s="192">
        <v>99.9</v>
      </c>
      <c r="G84" s="170">
        <v>100</v>
      </c>
      <c r="H84" s="234">
        <f aca="true" t="shared" si="8" ref="H84:H98">F84/D84*100</f>
        <v>108.58695652173913</v>
      </c>
      <c r="I84" s="242"/>
      <c r="J84" s="236">
        <f t="shared" si="7"/>
        <v>100.1001001001001</v>
      </c>
      <c r="K84" s="22"/>
    </row>
    <row r="85" spans="1:11" s="2" customFormat="1" ht="33" customHeight="1">
      <c r="A85" s="227"/>
      <c r="B85" s="251" t="s">
        <v>245</v>
      </c>
      <c r="C85" s="182" t="s">
        <v>8</v>
      </c>
      <c r="D85" s="192">
        <v>92.3</v>
      </c>
      <c r="E85" s="169" t="s">
        <v>9</v>
      </c>
      <c r="F85" s="194">
        <v>98.7</v>
      </c>
      <c r="G85" s="170">
        <v>100</v>
      </c>
      <c r="H85" s="234">
        <f t="shared" si="8"/>
        <v>106.93391115926327</v>
      </c>
      <c r="I85" s="242"/>
      <c r="J85" s="236">
        <f t="shared" si="7"/>
        <v>101.31712259371835</v>
      </c>
      <c r="K85" s="22"/>
    </row>
    <row r="86" spans="1:11" ht="39" customHeight="1">
      <c r="A86" s="184" t="s">
        <v>9</v>
      </c>
      <c r="B86" s="195" t="s">
        <v>268</v>
      </c>
      <c r="C86" s="182" t="s">
        <v>8</v>
      </c>
      <c r="D86" s="155">
        <v>2.9</v>
      </c>
      <c r="E86" s="157" t="s">
        <v>9</v>
      </c>
      <c r="F86" s="155">
        <v>7</v>
      </c>
      <c r="G86" s="156">
        <v>10</v>
      </c>
      <c r="H86" s="138">
        <f t="shared" si="8"/>
        <v>241.3793103448276</v>
      </c>
      <c r="I86" s="241"/>
      <c r="J86" s="139">
        <f t="shared" si="7"/>
        <v>142.85714285714286</v>
      </c>
      <c r="K86" s="11"/>
    </row>
    <row r="87" spans="1:11" ht="33" customHeight="1">
      <c r="A87" s="184" t="s">
        <v>9</v>
      </c>
      <c r="B87" s="253" t="s">
        <v>177</v>
      </c>
      <c r="C87" s="182" t="s">
        <v>8</v>
      </c>
      <c r="D87" s="155">
        <v>35.3</v>
      </c>
      <c r="E87" s="163" t="s">
        <v>9</v>
      </c>
      <c r="F87" s="196">
        <v>41.17</v>
      </c>
      <c r="G87" s="196">
        <v>41.17</v>
      </c>
      <c r="H87" s="138">
        <f t="shared" si="8"/>
        <v>116.628895184136</v>
      </c>
      <c r="I87" s="138"/>
      <c r="J87" s="139">
        <f t="shared" si="7"/>
        <v>100</v>
      </c>
      <c r="K87" s="11"/>
    </row>
    <row r="88" spans="1:11" ht="33" customHeight="1">
      <c r="A88" s="184" t="s">
        <v>147</v>
      </c>
      <c r="B88" s="254" t="s">
        <v>242</v>
      </c>
      <c r="C88" s="255" t="s">
        <v>8</v>
      </c>
      <c r="D88" s="155">
        <v>25</v>
      </c>
      <c r="E88" s="163" t="s">
        <v>9</v>
      </c>
      <c r="F88" s="171">
        <v>33.3</v>
      </c>
      <c r="G88" s="171">
        <v>33.3</v>
      </c>
      <c r="H88" s="138">
        <f t="shared" si="8"/>
        <v>133.2</v>
      </c>
      <c r="I88" s="138"/>
      <c r="J88" s="139">
        <f t="shared" si="7"/>
        <v>100</v>
      </c>
      <c r="K88" s="11"/>
    </row>
    <row r="89" spans="1:11" ht="33" customHeight="1">
      <c r="A89" s="184" t="s">
        <v>147</v>
      </c>
      <c r="B89" s="254" t="s">
        <v>243</v>
      </c>
      <c r="C89" s="255" t="s">
        <v>8</v>
      </c>
      <c r="D89" s="155">
        <v>36</v>
      </c>
      <c r="E89" s="163" t="s">
        <v>9</v>
      </c>
      <c r="F89" s="171">
        <v>55.55</v>
      </c>
      <c r="G89" s="171">
        <v>55.55</v>
      </c>
      <c r="H89" s="138">
        <f t="shared" si="8"/>
        <v>154.30555555555554</v>
      </c>
      <c r="I89" s="138"/>
      <c r="J89" s="139">
        <f t="shared" si="7"/>
        <v>100</v>
      </c>
      <c r="K89" s="11"/>
    </row>
    <row r="90" spans="1:11" ht="33" customHeight="1">
      <c r="A90" s="184" t="s">
        <v>147</v>
      </c>
      <c r="B90" s="254" t="s">
        <v>244</v>
      </c>
      <c r="C90" s="255" t="s">
        <v>8</v>
      </c>
      <c r="D90" s="155">
        <v>50</v>
      </c>
      <c r="E90" s="163" t="s">
        <v>9</v>
      </c>
      <c r="F90" s="171">
        <v>62.5</v>
      </c>
      <c r="G90" s="171">
        <v>62.5</v>
      </c>
      <c r="H90" s="138">
        <f t="shared" si="8"/>
        <v>125</v>
      </c>
      <c r="I90" s="138"/>
      <c r="J90" s="139">
        <f t="shared" si="7"/>
        <v>100</v>
      </c>
      <c r="K90" s="11"/>
    </row>
    <row r="91" spans="1:11" ht="57.75" customHeight="1">
      <c r="A91" s="29"/>
      <c r="B91" s="136" t="s">
        <v>161</v>
      </c>
      <c r="C91" s="30" t="s">
        <v>8</v>
      </c>
      <c r="D91" s="197">
        <v>100</v>
      </c>
      <c r="E91" s="248">
        <v>100</v>
      </c>
      <c r="F91" s="248">
        <v>100</v>
      </c>
      <c r="G91" s="248">
        <v>100</v>
      </c>
      <c r="H91" s="138">
        <f t="shared" si="8"/>
        <v>100</v>
      </c>
      <c r="I91" s="138">
        <f>F91/E91*100</f>
        <v>100</v>
      </c>
      <c r="J91" s="139">
        <f t="shared" si="7"/>
        <v>100</v>
      </c>
      <c r="K91" s="11"/>
    </row>
    <row r="92" spans="1:11" ht="60" customHeight="1">
      <c r="A92" s="29"/>
      <c r="B92" s="135" t="s">
        <v>162</v>
      </c>
      <c r="C92" s="30" t="s">
        <v>8</v>
      </c>
      <c r="D92" s="197">
        <v>100</v>
      </c>
      <c r="E92" s="248">
        <v>100</v>
      </c>
      <c r="F92" s="248">
        <v>100</v>
      </c>
      <c r="G92" s="248">
        <v>100</v>
      </c>
      <c r="H92" s="138">
        <f t="shared" si="8"/>
        <v>100</v>
      </c>
      <c r="I92" s="138">
        <f>F92/E92*100</f>
        <v>100</v>
      </c>
      <c r="J92" s="139">
        <f t="shared" si="7"/>
        <v>100</v>
      </c>
      <c r="K92" s="11"/>
    </row>
    <row r="93" spans="1:11" ht="52.5" customHeight="1">
      <c r="A93" s="29"/>
      <c r="B93" s="135" t="s">
        <v>163</v>
      </c>
      <c r="C93" s="30" t="s">
        <v>8</v>
      </c>
      <c r="D93" s="197">
        <v>64</v>
      </c>
      <c r="E93" s="156">
        <v>90.2</v>
      </c>
      <c r="F93" s="197">
        <v>64</v>
      </c>
      <c r="G93" s="156">
        <v>75</v>
      </c>
      <c r="H93" s="138">
        <f t="shared" si="8"/>
        <v>100</v>
      </c>
      <c r="I93" s="138">
        <f>F93/E93*100</f>
        <v>70.95343680709534</v>
      </c>
      <c r="J93" s="139">
        <f t="shared" si="7"/>
        <v>117.1875</v>
      </c>
      <c r="K93" s="11"/>
    </row>
    <row r="94" spans="1:11" ht="33" customHeight="1">
      <c r="A94" s="29">
        <v>6</v>
      </c>
      <c r="B94" s="135" t="s">
        <v>208</v>
      </c>
      <c r="C94" s="30"/>
      <c r="D94" s="197"/>
      <c r="E94" s="156"/>
      <c r="F94" s="197"/>
      <c r="G94" s="156"/>
      <c r="H94" s="138"/>
      <c r="I94" s="138"/>
      <c r="J94" s="139"/>
      <c r="K94" s="11"/>
    </row>
    <row r="95" spans="1:11" ht="35.25" customHeight="1">
      <c r="A95" s="97" t="s">
        <v>9</v>
      </c>
      <c r="B95" s="38" t="s">
        <v>323</v>
      </c>
      <c r="C95" s="179" t="s">
        <v>8</v>
      </c>
      <c r="D95" s="199" t="s">
        <v>9</v>
      </c>
      <c r="E95" s="157">
        <v>91</v>
      </c>
      <c r="F95" s="374">
        <v>83.3</v>
      </c>
      <c r="G95" s="374">
        <v>83.3</v>
      </c>
      <c r="H95" s="138"/>
      <c r="I95" s="138"/>
      <c r="J95" s="139"/>
      <c r="K95" s="11"/>
    </row>
    <row r="96" spans="1:11" ht="33" customHeight="1">
      <c r="A96" s="29" t="s">
        <v>9</v>
      </c>
      <c r="B96" s="135" t="s">
        <v>320</v>
      </c>
      <c r="C96" s="30" t="s">
        <v>321</v>
      </c>
      <c r="D96" s="197">
        <v>4</v>
      </c>
      <c r="E96" s="156" t="s">
        <v>9</v>
      </c>
      <c r="F96" s="197">
        <v>5</v>
      </c>
      <c r="G96" s="156">
        <v>5</v>
      </c>
      <c r="H96" s="138">
        <f t="shared" si="8"/>
        <v>125</v>
      </c>
      <c r="I96" s="138"/>
      <c r="J96" s="139">
        <f t="shared" si="7"/>
        <v>100</v>
      </c>
      <c r="K96" s="11"/>
    </row>
    <row r="97" spans="1:11" ht="33" customHeight="1">
      <c r="A97" s="29" t="s">
        <v>9</v>
      </c>
      <c r="B97" s="135" t="s">
        <v>319</v>
      </c>
      <c r="C97" s="30" t="s">
        <v>8</v>
      </c>
      <c r="D97" s="197">
        <v>76</v>
      </c>
      <c r="E97" s="156" t="s">
        <v>9</v>
      </c>
      <c r="F97" s="197">
        <v>83.8</v>
      </c>
      <c r="G97" s="156">
        <v>85</v>
      </c>
      <c r="H97" s="138">
        <f t="shared" si="8"/>
        <v>110.26315789473684</v>
      </c>
      <c r="I97" s="138"/>
      <c r="J97" s="139">
        <f t="shared" si="7"/>
        <v>101.43198090692125</v>
      </c>
      <c r="K97" s="11"/>
    </row>
    <row r="98" spans="1:11" ht="33" customHeight="1">
      <c r="A98" s="29" t="s">
        <v>9</v>
      </c>
      <c r="B98" s="135" t="s">
        <v>322</v>
      </c>
      <c r="C98" s="30" t="s">
        <v>8</v>
      </c>
      <c r="D98" s="197">
        <v>56</v>
      </c>
      <c r="E98" s="156" t="s">
        <v>9</v>
      </c>
      <c r="F98" s="197">
        <v>70.9</v>
      </c>
      <c r="G98" s="156">
        <v>70.9</v>
      </c>
      <c r="H98" s="138">
        <f t="shared" si="8"/>
        <v>126.60714285714288</v>
      </c>
      <c r="I98" s="138"/>
      <c r="J98" s="139">
        <f t="shared" si="7"/>
        <v>100</v>
      </c>
      <c r="K98" s="11"/>
    </row>
    <row r="99" spans="1:11" ht="33" customHeight="1">
      <c r="A99" s="198">
        <v>7</v>
      </c>
      <c r="B99" s="172" t="s">
        <v>209</v>
      </c>
      <c r="C99" s="179" t="s">
        <v>8</v>
      </c>
      <c r="D99" s="197">
        <v>100</v>
      </c>
      <c r="E99" s="157" t="s">
        <v>9</v>
      </c>
      <c r="F99" s="197">
        <v>100</v>
      </c>
      <c r="G99" s="156">
        <v>100</v>
      </c>
      <c r="H99" s="138">
        <f>F99/D99*100</f>
        <v>100</v>
      </c>
      <c r="I99" s="138"/>
      <c r="J99" s="139">
        <f t="shared" si="7"/>
        <v>100</v>
      </c>
      <c r="K99" s="11"/>
    </row>
    <row r="100" spans="1:11" ht="33" customHeight="1">
      <c r="A100" s="198">
        <v>8</v>
      </c>
      <c r="B100" s="172" t="s">
        <v>210</v>
      </c>
      <c r="C100" s="179" t="s">
        <v>8</v>
      </c>
      <c r="D100" s="199" t="s">
        <v>9</v>
      </c>
      <c r="E100" s="157" t="s">
        <v>9</v>
      </c>
      <c r="F100" s="197">
        <v>93.15</v>
      </c>
      <c r="G100" s="156">
        <v>94.6</v>
      </c>
      <c r="H100" s="138"/>
      <c r="I100" s="138"/>
      <c r="J100" s="139">
        <f t="shared" si="7"/>
        <v>101.55662909286096</v>
      </c>
      <c r="K100" s="11"/>
    </row>
    <row r="101" spans="1:11" ht="33" customHeight="1">
      <c r="A101" s="198">
        <v>9</v>
      </c>
      <c r="B101" s="172" t="s">
        <v>211</v>
      </c>
      <c r="C101" s="179" t="s">
        <v>8</v>
      </c>
      <c r="D101" s="199" t="s">
        <v>9</v>
      </c>
      <c r="E101" s="157" t="s">
        <v>9</v>
      </c>
      <c r="F101" s="197">
        <v>98.56</v>
      </c>
      <c r="G101" s="156">
        <v>99.1</v>
      </c>
      <c r="H101" s="138"/>
      <c r="I101" s="138"/>
      <c r="J101" s="139">
        <f t="shared" si="7"/>
        <v>100.5478896103896</v>
      </c>
      <c r="K101" s="11"/>
    </row>
    <row r="102" spans="1:11" ht="33" customHeight="1">
      <c r="A102" s="180" t="s">
        <v>26</v>
      </c>
      <c r="B102" s="527" t="s">
        <v>151</v>
      </c>
      <c r="C102" s="256"/>
      <c r="D102" s="256"/>
      <c r="E102" s="256"/>
      <c r="F102" s="256"/>
      <c r="G102" s="256"/>
      <c r="H102" s="138"/>
      <c r="I102" s="138"/>
      <c r="J102" s="139"/>
      <c r="K102" s="11"/>
    </row>
    <row r="103" spans="1:11" ht="45.75" customHeight="1">
      <c r="A103" s="173">
        <v>1</v>
      </c>
      <c r="B103" s="174" t="s">
        <v>212</v>
      </c>
      <c r="C103" s="175" t="s">
        <v>8</v>
      </c>
      <c r="D103" s="155">
        <v>50</v>
      </c>
      <c r="E103" s="157" t="s">
        <v>9</v>
      </c>
      <c r="F103" s="155">
        <v>55</v>
      </c>
      <c r="G103" s="156">
        <v>60</v>
      </c>
      <c r="H103" s="138">
        <f>F103/D103*100</f>
        <v>110.00000000000001</v>
      </c>
      <c r="I103" s="138"/>
      <c r="J103" s="139">
        <f t="shared" si="7"/>
        <v>109.09090909090908</v>
      </c>
      <c r="K103" s="11"/>
    </row>
    <row r="104" spans="1:11" ht="42" customHeight="1">
      <c r="A104" s="173">
        <v>2</v>
      </c>
      <c r="B104" s="174" t="s">
        <v>179</v>
      </c>
      <c r="C104" s="175" t="s">
        <v>8</v>
      </c>
      <c r="D104" s="155">
        <v>100</v>
      </c>
      <c r="E104" s="156">
        <v>100</v>
      </c>
      <c r="F104" s="156">
        <v>100</v>
      </c>
      <c r="G104" s="156">
        <v>100</v>
      </c>
      <c r="H104" s="138">
        <f>F104/D104*100</f>
        <v>100</v>
      </c>
      <c r="I104" s="138">
        <f>F104/E104*100</f>
        <v>100</v>
      </c>
      <c r="J104" s="139">
        <f t="shared" si="7"/>
        <v>100</v>
      </c>
      <c r="K104" s="11"/>
    </row>
    <row r="105" spans="1:11" ht="39" customHeight="1">
      <c r="A105" s="173">
        <v>3</v>
      </c>
      <c r="B105" s="200" t="s">
        <v>213</v>
      </c>
      <c r="C105" s="175" t="s">
        <v>8</v>
      </c>
      <c r="D105" s="155">
        <v>100</v>
      </c>
      <c r="E105" s="157" t="s">
        <v>9</v>
      </c>
      <c r="F105" s="156">
        <v>100</v>
      </c>
      <c r="G105" s="156">
        <v>100</v>
      </c>
      <c r="H105" s="138">
        <f>F105/D105*100</f>
        <v>100</v>
      </c>
      <c r="I105" s="138"/>
      <c r="J105" s="139">
        <f t="shared" si="7"/>
        <v>100</v>
      </c>
      <c r="K105" s="11"/>
    </row>
    <row r="106" spans="1:11" ht="33" customHeight="1">
      <c r="A106" s="173">
        <v>4</v>
      </c>
      <c r="B106" s="257" t="s">
        <v>214</v>
      </c>
      <c r="C106" s="175" t="s">
        <v>8</v>
      </c>
      <c r="D106" s="155">
        <v>75</v>
      </c>
      <c r="E106" s="157" t="s">
        <v>9</v>
      </c>
      <c r="F106" s="155">
        <v>76</v>
      </c>
      <c r="G106" s="156">
        <v>77</v>
      </c>
      <c r="H106" s="138">
        <f>F106/D106*100</f>
        <v>101.33333333333334</v>
      </c>
      <c r="I106" s="138"/>
      <c r="J106" s="139">
        <f t="shared" si="7"/>
        <v>101.3157894736842</v>
      </c>
      <c r="K106" s="11"/>
    </row>
    <row r="107" spans="1:11" ht="40.5" customHeight="1">
      <c r="A107" s="173">
        <v>5</v>
      </c>
      <c r="B107" s="258" t="s">
        <v>215</v>
      </c>
      <c r="C107" s="175" t="s">
        <v>8</v>
      </c>
      <c r="D107" s="155">
        <v>0</v>
      </c>
      <c r="E107" s="157" t="s">
        <v>9</v>
      </c>
      <c r="F107" s="155">
        <v>0</v>
      </c>
      <c r="G107" s="156">
        <v>100</v>
      </c>
      <c r="H107" s="138"/>
      <c r="I107" s="138"/>
      <c r="J107" s="139"/>
      <c r="K107" s="11"/>
    </row>
    <row r="108" spans="1:11" s="10" customFormat="1" ht="33" customHeight="1">
      <c r="A108" s="259" t="s">
        <v>128</v>
      </c>
      <c r="B108" s="529" t="s">
        <v>216</v>
      </c>
      <c r="C108" s="530"/>
      <c r="D108" s="530"/>
      <c r="E108" s="530"/>
      <c r="F108" s="531"/>
      <c r="G108" s="260"/>
      <c r="H108" s="138"/>
      <c r="I108" s="138"/>
      <c r="J108" s="139"/>
      <c r="K108" s="78"/>
    </row>
    <row r="109" spans="1:11" ht="45" customHeight="1">
      <c r="A109" s="173">
        <v>1</v>
      </c>
      <c r="B109" s="38" t="s">
        <v>217</v>
      </c>
      <c r="C109" s="175" t="s">
        <v>8</v>
      </c>
      <c r="D109" s="196"/>
      <c r="E109" s="157" t="s">
        <v>9</v>
      </c>
      <c r="F109" s="196"/>
      <c r="G109" s="156"/>
      <c r="H109" s="138"/>
      <c r="I109" s="138"/>
      <c r="J109" s="139"/>
      <c r="K109" s="11"/>
    </row>
    <row r="110" spans="1:11" ht="36.75" customHeight="1">
      <c r="A110" s="173">
        <v>2</v>
      </c>
      <c r="B110" s="258" t="s">
        <v>218</v>
      </c>
      <c r="C110" s="175" t="s">
        <v>8</v>
      </c>
      <c r="D110" s="159">
        <v>66.7</v>
      </c>
      <c r="E110" s="157" t="s">
        <v>9</v>
      </c>
      <c r="F110" s="159">
        <v>82.4</v>
      </c>
      <c r="G110" s="156">
        <v>75</v>
      </c>
      <c r="H110" s="138">
        <f>F110/D110*100</f>
        <v>123.53823088455773</v>
      </c>
      <c r="I110" s="138"/>
      <c r="J110" s="139">
        <f t="shared" si="7"/>
        <v>91.01941747572815</v>
      </c>
      <c r="K110" s="11"/>
    </row>
    <row r="111" spans="1:11" ht="45" customHeight="1">
      <c r="A111" s="345">
        <v>3</v>
      </c>
      <c r="B111" s="346" t="s">
        <v>283</v>
      </c>
      <c r="C111" s="347" t="s">
        <v>8</v>
      </c>
      <c r="D111" s="348">
        <v>94</v>
      </c>
      <c r="E111" s="349">
        <v>100</v>
      </c>
      <c r="F111" s="350">
        <v>100</v>
      </c>
      <c r="G111" s="350">
        <v>90</v>
      </c>
      <c r="H111" s="351">
        <f>F111/D111*100</f>
        <v>106.38297872340425</v>
      </c>
      <c r="I111" s="351">
        <f>F111/E111*100</f>
        <v>100</v>
      </c>
      <c r="J111" s="352">
        <f t="shared" si="7"/>
        <v>90</v>
      </c>
      <c r="K111" s="11"/>
    </row>
  </sheetData>
  <sheetProtection/>
  <mergeCells count="12">
    <mergeCell ref="B6:B7"/>
    <mergeCell ref="C6:C7"/>
    <mergeCell ref="D6:D7"/>
    <mergeCell ref="A5:G5"/>
    <mergeCell ref="E6:F6"/>
    <mergeCell ref="G6:G7"/>
    <mergeCell ref="A4:J4"/>
    <mergeCell ref="A1:J1"/>
    <mergeCell ref="A2:J2"/>
    <mergeCell ref="A3:J3"/>
    <mergeCell ref="H6:J6"/>
    <mergeCell ref="A6:A7"/>
  </mergeCells>
  <printOptions/>
  <pageMargins left="0.53" right="0.43" top="0.35433070866141736" bottom="0.3937007874015748" header="0.31496062992125984" footer="0.31496062992125984"/>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2:L120"/>
  <sheetViews>
    <sheetView showOutlineSymbols="0" view="pageBreakPreview" zoomScale="81" zoomScaleSheetLayoutView="81" workbookViewId="0" topLeftCell="A1">
      <pane ySplit="8" topLeftCell="A9" activePane="bottomLeft" state="frozen"/>
      <selection pane="topLeft" activeCell="A1" sqref="A1"/>
      <selection pane="bottomLeft" activeCell="A3" sqref="A3:K3"/>
    </sheetView>
  </sheetViews>
  <sheetFormatPr defaultColWidth="8.796875" defaultRowHeight="18.75" outlineLevelRow="1"/>
  <cols>
    <col min="1" max="1" width="4" style="1" bestFit="1" customWidth="1"/>
    <col min="2" max="2" width="44.8984375" style="1" customWidth="1"/>
    <col min="3" max="3" width="11.796875" style="1" customWidth="1"/>
    <col min="4" max="4" width="11.296875" style="4" customWidth="1"/>
    <col min="5" max="5" width="11.09765625" style="1" customWidth="1"/>
    <col min="6" max="6" width="12" style="1" customWidth="1"/>
    <col min="7" max="7" width="14.19921875" style="1" customWidth="1"/>
    <col min="8" max="8" width="13.69921875" style="1" customWidth="1"/>
    <col min="9" max="9" width="11.8984375" style="1" hidden="1" customWidth="1"/>
    <col min="10" max="10" width="11.09765625" style="1" hidden="1" customWidth="1"/>
    <col min="11" max="11" width="11.69921875" style="1" hidden="1" customWidth="1"/>
    <col min="12" max="16384" width="8.796875" style="1" customWidth="1"/>
  </cols>
  <sheetData>
    <row r="2" spans="1:11" ht="18">
      <c r="A2" s="838" t="s">
        <v>81</v>
      </c>
      <c r="B2" s="838"/>
      <c r="C2" s="838"/>
      <c r="D2" s="838"/>
      <c r="E2" s="838"/>
      <c r="F2" s="838"/>
      <c r="G2" s="838"/>
      <c r="H2" s="838"/>
      <c r="I2" s="838"/>
      <c r="J2" s="838"/>
      <c r="K2" s="838"/>
    </row>
    <row r="3" spans="1:11" ht="18">
      <c r="A3" s="843" t="s">
        <v>219</v>
      </c>
      <c r="B3" s="843"/>
      <c r="C3" s="843"/>
      <c r="D3" s="843"/>
      <c r="E3" s="843"/>
      <c r="F3" s="843"/>
      <c r="G3" s="843"/>
      <c r="H3" s="843"/>
      <c r="I3" s="843"/>
      <c r="J3" s="843"/>
      <c r="K3" s="843"/>
    </row>
    <row r="4" spans="1:11" ht="18">
      <c r="A4" s="827" t="s">
        <v>310</v>
      </c>
      <c r="B4" s="827"/>
      <c r="C4" s="827"/>
      <c r="D4" s="827"/>
      <c r="E4" s="827"/>
      <c r="F4" s="827"/>
      <c r="G4" s="827"/>
      <c r="H4" s="827"/>
      <c r="I4" s="827"/>
      <c r="J4" s="827"/>
      <c r="K4" s="827"/>
    </row>
    <row r="5" spans="1:8" s="14" customFormat="1" ht="18">
      <c r="A5" s="25"/>
      <c r="B5" s="25"/>
      <c r="C5" s="25"/>
      <c r="D5" s="25"/>
      <c r="E5" s="25"/>
      <c r="F5" s="25"/>
      <c r="G5" s="25"/>
      <c r="H5" s="25"/>
    </row>
    <row r="6" spans="1:8" s="14" customFormat="1" ht="18">
      <c r="A6" s="25"/>
      <c r="B6" s="25"/>
      <c r="C6" s="25"/>
      <c r="D6" s="25"/>
      <c r="E6" s="25"/>
      <c r="F6" s="25"/>
      <c r="G6" s="25"/>
      <c r="H6" s="25"/>
    </row>
    <row r="7" spans="1:11" s="10" customFormat="1" ht="39" customHeight="1">
      <c r="A7" s="832" t="s">
        <v>0</v>
      </c>
      <c r="B7" s="824" t="s">
        <v>1</v>
      </c>
      <c r="C7" s="824" t="s">
        <v>2</v>
      </c>
      <c r="D7" s="824" t="s">
        <v>181</v>
      </c>
      <c r="E7" s="824" t="s">
        <v>182</v>
      </c>
      <c r="F7" s="824"/>
      <c r="G7" s="839" t="s">
        <v>191</v>
      </c>
      <c r="H7" s="840"/>
      <c r="I7" s="835" t="s">
        <v>298</v>
      </c>
      <c r="J7" s="836"/>
      <c r="K7" s="837"/>
    </row>
    <row r="8" spans="1:11" s="10" customFormat="1" ht="72.75" customHeight="1">
      <c r="A8" s="833"/>
      <c r="B8" s="825"/>
      <c r="C8" s="825"/>
      <c r="D8" s="825"/>
      <c r="E8" s="26" t="s">
        <v>28</v>
      </c>
      <c r="F8" s="26" t="s">
        <v>29</v>
      </c>
      <c r="G8" s="26" t="s">
        <v>325</v>
      </c>
      <c r="H8" s="367" t="s">
        <v>290</v>
      </c>
      <c r="I8" s="353" t="s">
        <v>187</v>
      </c>
      <c r="J8" s="81" t="s">
        <v>278</v>
      </c>
      <c r="K8" s="82" t="s">
        <v>279</v>
      </c>
    </row>
    <row r="9" spans="1:11" s="2" customFormat="1" ht="39.75" customHeight="1">
      <c r="A9" s="83">
        <v>1</v>
      </c>
      <c r="B9" s="84">
        <v>2</v>
      </c>
      <c r="C9" s="84">
        <v>3</v>
      </c>
      <c r="D9" s="84">
        <v>4</v>
      </c>
      <c r="E9" s="84">
        <v>5</v>
      </c>
      <c r="F9" s="84">
        <v>7</v>
      </c>
      <c r="G9" s="84"/>
      <c r="H9" s="204">
        <v>8</v>
      </c>
      <c r="I9" s="354" t="s">
        <v>280</v>
      </c>
      <c r="J9" s="84" t="s">
        <v>281</v>
      </c>
      <c r="K9" s="204" t="s">
        <v>282</v>
      </c>
    </row>
    <row r="10" spans="1:11" ht="39.75" customHeight="1">
      <c r="A10" s="27" t="s">
        <v>30</v>
      </c>
      <c r="B10" s="85" t="s">
        <v>94</v>
      </c>
      <c r="C10" s="85"/>
      <c r="D10" s="85"/>
      <c r="E10" s="85"/>
      <c r="F10" s="85"/>
      <c r="G10" s="85"/>
      <c r="H10" s="71"/>
      <c r="I10" s="355"/>
      <c r="J10" s="86"/>
      <c r="K10" s="87"/>
    </row>
    <row r="11" spans="1:11" s="10" customFormat="1" ht="39.75" customHeight="1">
      <c r="A11" s="27"/>
      <c r="B11" s="85" t="s">
        <v>96</v>
      </c>
      <c r="C11" s="28" t="s">
        <v>97</v>
      </c>
      <c r="D11" s="88">
        <f>D14+D37+D40+D43+D58</f>
        <v>11698.8</v>
      </c>
      <c r="E11" s="88">
        <f>E14+E37+E40+E43+E58</f>
        <v>12204.6</v>
      </c>
      <c r="F11" s="88">
        <f>F14+F37+F40+F43+F58</f>
        <v>11971.3</v>
      </c>
      <c r="G11" s="88">
        <v>12314</v>
      </c>
      <c r="H11" s="304">
        <v>12380</v>
      </c>
      <c r="I11" s="356">
        <f aca="true" t="shared" si="0" ref="I11:I37">F11/D11*100</f>
        <v>102.32929873149384</v>
      </c>
      <c r="J11" s="89">
        <f>F11/E11*100</f>
        <v>98.08842567556493</v>
      </c>
      <c r="K11" s="90">
        <f>H11/F11*100</f>
        <v>103.41399847969728</v>
      </c>
    </row>
    <row r="12" spans="1:11" s="10" customFormat="1" ht="39.75" customHeight="1">
      <c r="A12" s="27"/>
      <c r="B12" s="85" t="s">
        <v>10</v>
      </c>
      <c r="C12" s="28" t="s">
        <v>32</v>
      </c>
      <c r="D12" s="88">
        <f>D17+D30</f>
        <v>11980.776</v>
      </c>
      <c r="E12" s="88">
        <f>E17+E30</f>
        <v>13168.3</v>
      </c>
      <c r="F12" s="88">
        <f>F17+F30</f>
        <v>12351.699999999999</v>
      </c>
      <c r="G12" s="88">
        <f>G17+G30</f>
        <v>12773</v>
      </c>
      <c r="H12" s="304">
        <f>H17+H30</f>
        <v>12793</v>
      </c>
      <c r="I12" s="356">
        <f t="shared" si="0"/>
        <v>103.09599311430244</v>
      </c>
      <c r="J12" s="89">
        <f aca="true" t="shared" si="1" ref="J12:J40">F12/E12*100</f>
        <v>93.79874395328174</v>
      </c>
      <c r="K12" s="90">
        <f aca="true" t="shared" si="2" ref="K12:K75">H12/F12*100</f>
        <v>103.57278755151114</v>
      </c>
    </row>
    <row r="13" spans="1:11" s="2" customFormat="1" ht="39.75" customHeight="1">
      <c r="A13" s="29"/>
      <c r="B13" s="91" t="s">
        <v>33</v>
      </c>
      <c r="C13" s="30" t="s">
        <v>32</v>
      </c>
      <c r="D13" s="92">
        <f>D17</f>
        <v>11390.976</v>
      </c>
      <c r="E13" s="92">
        <f>E17</f>
        <v>12537.5</v>
      </c>
      <c r="F13" s="92">
        <f>F17</f>
        <v>11702.4</v>
      </c>
      <c r="G13" s="92">
        <f>G17</f>
        <v>12143</v>
      </c>
      <c r="H13" s="208">
        <f>H17</f>
        <v>12143</v>
      </c>
      <c r="I13" s="357">
        <f t="shared" si="0"/>
        <v>102.73395361380797</v>
      </c>
      <c r="J13" s="93">
        <f t="shared" si="1"/>
        <v>93.33918245264206</v>
      </c>
      <c r="K13" s="94">
        <f t="shared" si="2"/>
        <v>103.76503964998633</v>
      </c>
    </row>
    <row r="14" spans="1:11" s="10" customFormat="1" ht="39.75" customHeight="1">
      <c r="A14" s="27">
        <v>1</v>
      </c>
      <c r="B14" s="85" t="s">
        <v>34</v>
      </c>
      <c r="C14" s="28" t="s">
        <v>97</v>
      </c>
      <c r="D14" s="88">
        <f>D15+D28</f>
        <v>3617.5</v>
      </c>
      <c r="E14" s="88">
        <f>E15+E28</f>
        <v>3590</v>
      </c>
      <c r="F14" s="88">
        <f>F15+F28</f>
        <v>3616.7999999999997</v>
      </c>
      <c r="G14" s="88">
        <f>G15+G28</f>
        <v>3580</v>
      </c>
      <c r="H14" s="304">
        <f>H15+H28</f>
        <v>3580</v>
      </c>
      <c r="I14" s="356">
        <f t="shared" si="0"/>
        <v>99.98064961990323</v>
      </c>
      <c r="J14" s="89">
        <f t="shared" si="1"/>
        <v>100.74651810584957</v>
      </c>
      <c r="K14" s="90">
        <f t="shared" si="2"/>
        <v>98.98252598982526</v>
      </c>
    </row>
    <row r="15" spans="1:11" s="10" customFormat="1" ht="39.75" customHeight="1">
      <c r="A15" s="27" t="s">
        <v>98</v>
      </c>
      <c r="B15" s="85" t="s">
        <v>36</v>
      </c>
      <c r="C15" s="28" t="s">
        <v>97</v>
      </c>
      <c r="D15" s="88">
        <f>D18+D21</f>
        <v>3456</v>
      </c>
      <c r="E15" s="88">
        <f>E18+E21</f>
        <v>3440</v>
      </c>
      <c r="F15" s="88">
        <f>F18+F21</f>
        <v>3439.6</v>
      </c>
      <c r="G15" s="88">
        <f>G18+G21</f>
        <v>3430</v>
      </c>
      <c r="H15" s="304">
        <f>H18+H21</f>
        <v>3430</v>
      </c>
      <c r="I15" s="356">
        <f t="shared" si="0"/>
        <v>99.52546296296296</v>
      </c>
      <c r="J15" s="89">
        <f t="shared" si="1"/>
        <v>99.98837209302324</v>
      </c>
      <c r="K15" s="90">
        <f t="shared" si="2"/>
        <v>99.72089777881149</v>
      </c>
    </row>
    <row r="16" spans="1:11" ht="39.75" customHeight="1">
      <c r="A16" s="29"/>
      <c r="B16" s="91" t="s">
        <v>37</v>
      </c>
      <c r="C16" s="30" t="s">
        <v>38</v>
      </c>
      <c r="D16" s="95">
        <v>32.96</v>
      </c>
      <c r="E16" s="95">
        <v>37.1</v>
      </c>
      <c r="F16" s="96">
        <v>34.02</v>
      </c>
      <c r="G16" s="95">
        <v>35.4</v>
      </c>
      <c r="H16" s="287">
        <v>35.4</v>
      </c>
      <c r="I16" s="357">
        <f t="shared" si="0"/>
        <v>103.21601941747574</v>
      </c>
      <c r="J16" s="93">
        <f t="shared" si="1"/>
        <v>91.69811320754717</v>
      </c>
      <c r="K16" s="94">
        <f t="shared" si="2"/>
        <v>104.05643738977071</v>
      </c>
    </row>
    <row r="17" spans="1:11" ht="39.75" customHeight="1">
      <c r="A17" s="29"/>
      <c r="B17" s="91" t="s">
        <v>39</v>
      </c>
      <c r="C17" s="30" t="s">
        <v>11</v>
      </c>
      <c r="D17" s="95">
        <f>D16*D15/10</f>
        <v>11390.976</v>
      </c>
      <c r="E17" s="95">
        <f>E20+E24+E27</f>
        <v>12537.5</v>
      </c>
      <c r="F17" s="95">
        <f>F20+F24+F27</f>
        <v>11702.4</v>
      </c>
      <c r="G17" s="92">
        <f>G20+G24+G27</f>
        <v>12143</v>
      </c>
      <c r="H17" s="208">
        <f>H20+H24+H27</f>
        <v>12143</v>
      </c>
      <c r="I17" s="357">
        <f t="shared" si="0"/>
        <v>102.73395361380797</v>
      </c>
      <c r="J17" s="93">
        <f t="shared" si="1"/>
        <v>93.33918245264206</v>
      </c>
      <c r="K17" s="94">
        <f t="shared" si="2"/>
        <v>103.76503964998633</v>
      </c>
    </row>
    <row r="18" spans="1:11" ht="39.75" customHeight="1">
      <c r="A18" s="97" t="s">
        <v>35</v>
      </c>
      <c r="B18" s="98" t="s">
        <v>174</v>
      </c>
      <c r="C18" s="32" t="s">
        <v>97</v>
      </c>
      <c r="D18" s="95">
        <v>785</v>
      </c>
      <c r="E18" s="92">
        <v>820</v>
      </c>
      <c r="F18" s="92">
        <v>819.6</v>
      </c>
      <c r="G18" s="92">
        <v>825</v>
      </c>
      <c r="H18" s="208">
        <v>825</v>
      </c>
      <c r="I18" s="357">
        <f t="shared" si="0"/>
        <v>104.40764331210191</v>
      </c>
      <c r="J18" s="93">
        <f t="shared" si="1"/>
        <v>99.95121951219512</v>
      </c>
      <c r="K18" s="94">
        <f t="shared" si="2"/>
        <v>100.6588579795022</v>
      </c>
    </row>
    <row r="19" spans="1:11" ht="39.75" customHeight="1">
      <c r="A19" s="29"/>
      <c r="B19" s="91" t="s">
        <v>37</v>
      </c>
      <c r="C19" s="30" t="s">
        <v>38</v>
      </c>
      <c r="D19" s="95">
        <v>38.65</v>
      </c>
      <c r="E19" s="95">
        <v>41.8</v>
      </c>
      <c r="F19" s="99">
        <v>38.89</v>
      </c>
      <c r="G19" s="106">
        <v>39</v>
      </c>
      <c r="H19" s="287">
        <v>39</v>
      </c>
      <c r="I19" s="357">
        <f t="shared" si="0"/>
        <v>100.62095730918499</v>
      </c>
      <c r="J19" s="93">
        <f t="shared" si="1"/>
        <v>93.03827751196174</v>
      </c>
      <c r="K19" s="94">
        <f t="shared" si="2"/>
        <v>100.2828490614554</v>
      </c>
    </row>
    <row r="20" spans="1:11" ht="39.75" customHeight="1">
      <c r="A20" s="29"/>
      <c r="B20" s="91" t="s">
        <v>39</v>
      </c>
      <c r="C20" s="30" t="s">
        <v>11</v>
      </c>
      <c r="D20" s="95">
        <v>3033.5</v>
      </c>
      <c r="E20" s="92">
        <v>3427.5</v>
      </c>
      <c r="F20" s="100">
        <v>3187.4</v>
      </c>
      <c r="G20" s="100">
        <v>3220</v>
      </c>
      <c r="H20" s="368">
        <v>3220</v>
      </c>
      <c r="I20" s="357">
        <f t="shared" si="0"/>
        <v>105.07334761826274</v>
      </c>
      <c r="J20" s="93">
        <f t="shared" si="1"/>
        <v>92.99489423778265</v>
      </c>
      <c r="K20" s="94">
        <f t="shared" si="2"/>
        <v>101.02277718516659</v>
      </c>
    </row>
    <row r="21" spans="1:11" ht="39.75" customHeight="1">
      <c r="A21" s="29" t="s">
        <v>43</v>
      </c>
      <c r="B21" s="91" t="s">
        <v>40</v>
      </c>
      <c r="C21" s="30" t="s">
        <v>97</v>
      </c>
      <c r="D21" s="101">
        <f>D22+D25</f>
        <v>2671</v>
      </c>
      <c r="E21" s="101">
        <f>E22+E25</f>
        <v>2620</v>
      </c>
      <c r="F21" s="101">
        <f>F22+F25</f>
        <v>2620</v>
      </c>
      <c r="G21" s="92">
        <v>2605</v>
      </c>
      <c r="H21" s="208">
        <f>H22+H25</f>
        <v>2605</v>
      </c>
      <c r="I21" s="357">
        <f t="shared" si="0"/>
        <v>98.09060277049794</v>
      </c>
      <c r="J21" s="93">
        <f t="shared" si="1"/>
        <v>100</v>
      </c>
      <c r="K21" s="94">
        <f t="shared" si="2"/>
        <v>99.42748091603053</v>
      </c>
    </row>
    <row r="22" spans="1:11" s="2" customFormat="1" ht="39.75" customHeight="1">
      <c r="A22" s="31"/>
      <c r="B22" s="102" t="s">
        <v>41</v>
      </c>
      <c r="C22" s="32" t="s">
        <v>97</v>
      </c>
      <c r="D22" s="100">
        <v>1923</v>
      </c>
      <c r="E22" s="100">
        <v>1870</v>
      </c>
      <c r="F22" s="100">
        <v>1870</v>
      </c>
      <c r="G22" s="100">
        <v>1870</v>
      </c>
      <c r="H22" s="368">
        <v>1870</v>
      </c>
      <c r="I22" s="358">
        <f t="shared" si="0"/>
        <v>97.24388975559022</v>
      </c>
      <c r="J22" s="103">
        <f t="shared" si="1"/>
        <v>100</v>
      </c>
      <c r="K22" s="104">
        <f t="shared" si="2"/>
        <v>100</v>
      </c>
    </row>
    <row r="23" spans="1:11" s="2" customFormat="1" ht="39.75" customHeight="1">
      <c r="A23" s="31"/>
      <c r="B23" s="105" t="s">
        <v>37</v>
      </c>
      <c r="C23" s="32" t="s">
        <v>38</v>
      </c>
      <c r="D23" s="106">
        <v>36.12</v>
      </c>
      <c r="E23" s="106">
        <v>41.2</v>
      </c>
      <c r="F23" s="106">
        <v>37.92</v>
      </c>
      <c r="G23" s="106">
        <v>41.2</v>
      </c>
      <c r="H23" s="369">
        <v>41.2</v>
      </c>
      <c r="I23" s="358">
        <f t="shared" si="0"/>
        <v>104.98338870431895</v>
      </c>
      <c r="J23" s="103">
        <f t="shared" si="1"/>
        <v>92.03883495145631</v>
      </c>
      <c r="K23" s="104">
        <f t="shared" si="2"/>
        <v>108.64978902953585</v>
      </c>
    </row>
    <row r="24" spans="1:11" s="2" customFormat="1" ht="39.75" customHeight="1">
      <c r="A24" s="31"/>
      <c r="B24" s="105" t="s">
        <v>39</v>
      </c>
      <c r="C24" s="32" t="s">
        <v>11</v>
      </c>
      <c r="D24" s="100">
        <v>6946</v>
      </c>
      <c r="E24" s="100">
        <v>7700</v>
      </c>
      <c r="F24" s="100">
        <v>7090</v>
      </c>
      <c r="G24" s="100">
        <v>7700</v>
      </c>
      <c r="H24" s="368">
        <v>7700</v>
      </c>
      <c r="I24" s="358">
        <f t="shared" si="0"/>
        <v>102.07313561762166</v>
      </c>
      <c r="J24" s="103">
        <f t="shared" si="1"/>
        <v>92.07792207792208</v>
      </c>
      <c r="K24" s="104">
        <f t="shared" si="2"/>
        <v>108.60366713681242</v>
      </c>
    </row>
    <row r="25" spans="1:11" s="2" customFormat="1" ht="39.75" customHeight="1">
      <c r="A25" s="31"/>
      <c r="B25" s="102" t="s">
        <v>42</v>
      </c>
      <c r="C25" s="32" t="s">
        <v>31</v>
      </c>
      <c r="D25" s="106">
        <v>748</v>
      </c>
      <c r="E25" s="100">
        <v>750</v>
      </c>
      <c r="F25" s="106">
        <v>750</v>
      </c>
      <c r="G25" s="100">
        <v>735</v>
      </c>
      <c r="H25" s="368">
        <v>735</v>
      </c>
      <c r="I25" s="359">
        <f t="shared" si="0"/>
        <v>100.26737967914438</v>
      </c>
      <c r="J25" s="107">
        <f t="shared" si="1"/>
        <v>100</v>
      </c>
      <c r="K25" s="108">
        <f t="shared" si="2"/>
        <v>98</v>
      </c>
    </row>
    <row r="26" spans="1:11" s="2" customFormat="1" ht="39.75" customHeight="1">
      <c r="A26" s="31"/>
      <c r="B26" s="105" t="s">
        <v>37</v>
      </c>
      <c r="C26" s="32" t="s">
        <v>38</v>
      </c>
      <c r="D26" s="106">
        <v>18.85</v>
      </c>
      <c r="E26" s="106">
        <v>18.8</v>
      </c>
      <c r="F26" s="106">
        <v>19</v>
      </c>
      <c r="G26" s="106">
        <v>16.6</v>
      </c>
      <c r="H26" s="369">
        <v>16.6</v>
      </c>
      <c r="I26" s="359">
        <f t="shared" si="0"/>
        <v>100.79575596816977</v>
      </c>
      <c r="J26" s="107">
        <f t="shared" si="1"/>
        <v>101.06382978723406</v>
      </c>
      <c r="K26" s="108">
        <f t="shared" si="2"/>
        <v>87.36842105263159</v>
      </c>
    </row>
    <row r="27" spans="1:11" s="2" customFormat="1" ht="39.75" customHeight="1">
      <c r="A27" s="31"/>
      <c r="B27" s="105" t="s">
        <v>39</v>
      </c>
      <c r="C27" s="32" t="s">
        <v>11</v>
      </c>
      <c r="D27" s="106">
        <v>1410.2</v>
      </c>
      <c r="E27" s="100">
        <v>1410</v>
      </c>
      <c r="F27" s="100">
        <v>1425</v>
      </c>
      <c r="G27" s="100">
        <v>1223</v>
      </c>
      <c r="H27" s="368">
        <v>1223</v>
      </c>
      <c r="I27" s="359">
        <f t="shared" si="0"/>
        <v>101.04949652531556</v>
      </c>
      <c r="J27" s="107">
        <f t="shared" si="1"/>
        <v>101.06382978723406</v>
      </c>
      <c r="K27" s="108">
        <f t="shared" si="2"/>
        <v>85.82456140350877</v>
      </c>
    </row>
    <row r="28" spans="1:11" s="10" customFormat="1" ht="39.75" customHeight="1">
      <c r="A28" s="27" t="s">
        <v>100</v>
      </c>
      <c r="B28" s="85" t="s">
        <v>44</v>
      </c>
      <c r="C28" s="28" t="s">
        <v>97</v>
      </c>
      <c r="D28" s="109">
        <f>D31+D34</f>
        <v>161.5</v>
      </c>
      <c r="E28" s="109">
        <f>E31+E34</f>
        <v>150</v>
      </c>
      <c r="F28" s="109">
        <f>F31+F34</f>
        <v>177.2</v>
      </c>
      <c r="G28" s="88">
        <f>G31+G34</f>
        <v>150</v>
      </c>
      <c r="H28" s="304">
        <f>H31+H34</f>
        <v>150</v>
      </c>
      <c r="I28" s="360">
        <f t="shared" si="0"/>
        <v>109.72136222910216</v>
      </c>
      <c r="J28" s="110">
        <f t="shared" si="1"/>
        <v>118.13333333333334</v>
      </c>
      <c r="K28" s="111">
        <f t="shared" si="2"/>
        <v>84.65011286681717</v>
      </c>
    </row>
    <row r="29" spans="1:11" ht="39.75" customHeight="1">
      <c r="A29" s="29"/>
      <c r="B29" s="91" t="s">
        <v>37</v>
      </c>
      <c r="C29" s="30" t="s">
        <v>38</v>
      </c>
      <c r="D29" s="95">
        <v>36.52</v>
      </c>
      <c r="E29" s="95">
        <v>41.91</v>
      </c>
      <c r="F29" s="96">
        <v>36.66</v>
      </c>
      <c r="G29" s="92">
        <v>42</v>
      </c>
      <c r="H29" s="208">
        <v>42</v>
      </c>
      <c r="I29" s="361">
        <f t="shared" si="0"/>
        <v>100.38335158817084</v>
      </c>
      <c r="J29" s="112">
        <f t="shared" si="1"/>
        <v>87.47315676449534</v>
      </c>
      <c r="K29" s="113">
        <f t="shared" si="2"/>
        <v>114.56628477905075</v>
      </c>
    </row>
    <row r="30" spans="1:11" s="11" customFormat="1" ht="39.75" customHeight="1">
      <c r="A30" s="29"/>
      <c r="B30" s="91" t="s">
        <v>39</v>
      </c>
      <c r="C30" s="30" t="s">
        <v>11</v>
      </c>
      <c r="D30" s="95">
        <f>D33+D36</f>
        <v>589.8</v>
      </c>
      <c r="E30" s="95">
        <f>E33+E36</f>
        <v>630.8</v>
      </c>
      <c r="F30" s="95">
        <f>F33+F36</f>
        <v>649.3</v>
      </c>
      <c r="G30" s="92">
        <f>G33+G36</f>
        <v>630</v>
      </c>
      <c r="H30" s="208">
        <f>H33+H36+1</f>
        <v>650</v>
      </c>
      <c r="I30" s="362">
        <f t="shared" si="0"/>
        <v>110.08816547982367</v>
      </c>
      <c r="J30" s="114">
        <f t="shared" si="1"/>
        <v>102.93278376664551</v>
      </c>
      <c r="K30" s="115">
        <f t="shared" si="2"/>
        <v>100.1078084090559</v>
      </c>
    </row>
    <row r="31" spans="1:11" ht="39.75" customHeight="1">
      <c r="A31" s="29" t="s">
        <v>9</v>
      </c>
      <c r="B31" s="91" t="s">
        <v>45</v>
      </c>
      <c r="C31" s="30" t="s">
        <v>97</v>
      </c>
      <c r="D31" s="95">
        <v>19</v>
      </c>
      <c r="E31" s="95">
        <v>10</v>
      </c>
      <c r="F31" s="95">
        <v>12.2</v>
      </c>
      <c r="G31" s="92">
        <v>10</v>
      </c>
      <c r="H31" s="208">
        <v>10</v>
      </c>
      <c r="I31" s="361">
        <f t="shared" si="0"/>
        <v>64.21052631578948</v>
      </c>
      <c r="J31" s="112">
        <f t="shared" si="1"/>
        <v>122</v>
      </c>
      <c r="K31" s="113">
        <f t="shared" si="2"/>
        <v>81.9672131147541</v>
      </c>
    </row>
    <row r="32" spans="1:11" ht="39.75" customHeight="1">
      <c r="A32" s="29"/>
      <c r="B32" s="91" t="s">
        <v>37</v>
      </c>
      <c r="C32" s="30" t="s">
        <v>38</v>
      </c>
      <c r="D32" s="95">
        <v>37.37</v>
      </c>
      <c r="E32" s="95">
        <v>40</v>
      </c>
      <c r="F32" s="96">
        <v>37.95</v>
      </c>
      <c r="G32" s="95">
        <v>60.4</v>
      </c>
      <c r="H32" s="287">
        <v>60.4</v>
      </c>
      <c r="I32" s="361">
        <f t="shared" si="0"/>
        <v>101.55204709660157</v>
      </c>
      <c r="J32" s="112">
        <f t="shared" si="1"/>
        <v>94.87500000000001</v>
      </c>
      <c r="K32" s="113">
        <f t="shared" si="2"/>
        <v>159.15678524374175</v>
      </c>
    </row>
    <row r="33" spans="1:11" ht="39.75" customHeight="1">
      <c r="A33" s="29"/>
      <c r="B33" s="91" t="s">
        <v>39</v>
      </c>
      <c r="C33" s="30" t="s">
        <v>11</v>
      </c>
      <c r="D33" s="95">
        <v>71</v>
      </c>
      <c r="E33" s="95">
        <v>40</v>
      </c>
      <c r="F33" s="95">
        <v>46.3</v>
      </c>
      <c r="G33" s="92">
        <v>60</v>
      </c>
      <c r="H33" s="208">
        <v>60</v>
      </c>
      <c r="I33" s="361">
        <f t="shared" si="0"/>
        <v>65.2112676056338</v>
      </c>
      <c r="J33" s="112">
        <f t="shared" si="1"/>
        <v>115.75</v>
      </c>
      <c r="K33" s="113">
        <f t="shared" si="2"/>
        <v>129.58963282937367</v>
      </c>
    </row>
    <row r="34" spans="1:11" ht="39.75" customHeight="1">
      <c r="A34" s="29" t="s">
        <v>9</v>
      </c>
      <c r="B34" s="91" t="s">
        <v>46</v>
      </c>
      <c r="C34" s="30" t="s">
        <v>31</v>
      </c>
      <c r="D34" s="95">
        <v>142.5</v>
      </c>
      <c r="E34" s="92">
        <v>140</v>
      </c>
      <c r="F34" s="92">
        <v>165</v>
      </c>
      <c r="G34" s="92">
        <v>140</v>
      </c>
      <c r="H34" s="208">
        <v>140</v>
      </c>
      <c r="I34" s="361">
        <f t="shared" si="0"/>
        <v>115.78947368421053</v>
      </c>
      <c r="J34" s="112">
        <f t="shared" si="1"/>
        <v>117.85714285714286</v>
      </c>
      <c r="K34" s="113">
        <f t="shared" si="2"/>
        <v>84.84848484848484</v>
      </c>
    </row>
    <row r="35" spans="1:11" ht="39.75" customHeight="1">
      <c r="A35" s="29"/>
      <c r="B35" s="91" t="s">
        <v>37</v>
      </c>
      <c r="C35" s="30" t="s">
        <v>38</v>
      </c>
      <c r="D35" s="95">
        <v>36.41</v>
      </c>
      <c r="E35" s="95">
        <v>42.2</v>
      </c>
      <c r="F35" s="95">
        <v>36.57</v>
      </c>
      <c r="G35" s="95">
        <v>40.7</v>
      </c>
      <c r="H35" s="287">
        <v>42.1</v>
      </c>
      <c r="I35" s="361">
        <f t="shared" si="0"/>
        <v>100.4394397143642</v>
      </c>
      <c r="J35" s="112">
        <f t="shared" si="1"/>
        <v>86.65876777251185</v>
      </c>
      <c r="K35" s="113">
        <f t="shared" si="2"/>
        <v>115.12168444079846</v>
      </c>
    </row>
    <row r="36" spans="1:11" ht="39.75" customHeight="1">
      <c r="A36" s="29"/>
      <c r="B36" s="91" t="s">
        <v>39</v>
      </c>
      <c r="C36" s="30" t="s">
        <v>11</v>
      </c>
      <c r="D36" s="95">
        <v>518.8</v>
      </c>
      <c r="E36" s="92">
        <v>590.8</v>
      </c>
      <c r="F36" s="92">
        <v>603</v>
      </c>
      <c r="G36" s="92">
        <v>570</v>
      </c>
      <c r="H36" s="208">
        <v>589</v>
      </c>
      <c r="I36" s="361">
        <f t="shared" si="0"/>
        <v>116.22976098689284</v>
      </c>
      <c r="J36" s="112">
        <f t="shared" si="1"/>
        <v>102.06499661475965</v>
      </c>
      <c r="K36" s="113">
        <f t="shared" si="2"/>
        <v>97.6782752902156</v>
      </c>
    </row>
    <row r="37" spans="1:11" s="10" customFormat="1" ht="39.75" customHeight="1">
      <c r="A37" s="27">
        <v>2</v>
      </c>
      <c r="B37" s="116" t="s">
        <v>221</v>
      </c>
      <c r="C37" s="28" t="s">
        <v>31</v>
      </c>
      <c r="D37" s="88">
        <v>4224</v>
      </c>
      <c r="E37" s="88">
        <v>3900</v>
      </c>
      <c r="F37" s="88">
        <v>3900</v>
      </c>
      <c r="G37" s="88">
        <v>3800</v>
      </c>
      <c r="H37" s="304">
        <v>3800</v>
      </c>
      <c r="I37" s="360">
        <f t="shared" si="0"/>
        <v>92.32954545454545</v>
      </c>
      <c r="J37" s="110">
        <f t="shared" si="1"/>
        <v>100</v>
      </c>
      <c r="K37" s="111">
        <f t="shared" si="2"/>
        <v>97.43589743589743</v>
      </c>
    </row>
    <row r="38" spans="1:11" ht="39.75" customHeight="1">
      <c r="A38" s="29"/>
      <c r="B38" s="91" t="s">
        <v>37</v>
      </c>
      <c r="C38" s="30" t="s">
        <v>38</v>
      </c>
      <c r="D38" s="95"/>
      <c r="E38" s="95">
        <v>125.5</v>
      </c>
      <c r="F38" s="92">
        <v>144</v>
      </c>
      <c r="G38" s="92">
        <v>132.3</v>
      </c>
      <c r="H38" s="287">
        <v>132.3</v>
      </c>
      <c r="I38" s="361"/>
      <c r="J38" s="112">
        <f t="shared" si="1"/>
        <v>114.74103585657372</v>
      </c>
      <c r="K38" s="113">
        <f t="shared" si="2"/>
        <v>91.875</v>
      </c>
    </row>
    <row r="39" spans="1:11" ht="39.75" customHeight="1">
      <c r="A39" s="29"/>
      <c r="B39" s="91" t="s">
        <v>39</v>
      </c>
      <c r="C39" s="30" t="s">
        <v>11</v>
      </c>
      <c r="D39" s="95"/>
      <c r="E39" s="92">
        <v>48945</v>
      </c>
      <c r="F39" s="92">
        <v>56167</v>
      </c>
      <c r="G39" s="92">
        <v>50255</v>
      </c>
      <c r="H39" s="208">
        <v>50255</v>
      </c>
      <c r="I39" s="361"/>
      <c r="J39" s="112">
        <f t="shared" si="1"/>
        <v>114.75533762386351</v>
      </c>
      <c r="K39" s="113">
        <f t="shared" si="2"/>
        <v>89.47424644364128</v>
      </c>
    </row>
    <row r="40" spans="1:11" s="10" customFormat="1" ht="39.75" customHeight="1">
      <c r="A40" s="27">
        <v>3</v>
      </c>
      <c r="B40" s="85" t="s">
        <v>222</v>
      </c>
      <c r="C40" s="28" t="s">
        <v>31</v>
      </c>
      <c r="D40" s="117">
        <f>D41+D42</f>
        <v>110</v>
      </c>
      <c r="E40" s="117">
        <v>128</v>
      </c>
      <c r="F40" s="117">
        <f>F41+F42</f>
        <v>128</v>
      </c>
      <c r="G40" s="117">
        <v>120</v>
      </c>
      <c r="H40" s="370">
        <f>H41+H42</f>
        <v>120</v>
      </c>
      <c r="I40" s="356">
        <f aca="true" t="shared" si="3" ref="I40:I49">F40/D40*100</f>
        <v>116.36363636363636</v>
      </c>
      <c r="J40" s="89">
        <f t="shared" si="1"/>
        <v>100</v>
      </c>
      <c r="K40" s="90">
        <f t="shared" si="2"/>
        <v>93.75</v>
      </c>
    </row>
    <row r="41" spans="1:11" ht="39.75" customHeight="1">
      <c r="A41" s="97" t="s">
        <v>9</v>
      </c>
      <c r="B41" s="91" t="s">
        <v>223</v>
      </c>
      <c r="C41" s="30" t="s">
        <v>31</v>
      </c>
      <c r="D41" s="101">
        <v>40</v>
      </c>
      <c r="E41" s="118" t="s">
        <v>9</v>
      </c>
      <c r="F41" s="101">
        <v>40</v>
      </c>
      <c r="G41" s="118" t="s">
        <v>9</v>
      </c>
      <c r="H41" s="371">
        <v>40</v>
      </c>
      <c r="I41" s="361">
        <f t="shared" si="3"/>
        <v>100</v>
      </c>
      <c r="J41" s="112"/>
      <c r="K41" s="113">
        <f t="shared" si="2"/>
        <v>100</v>
      </c>
    </row>
    <row r="42" spans="1:11" ht="39.75" customHeight="1">
      <c r="A42" s="97" t="s">
        <v>9</v>
      </c>
      <c r="B42" s="91" t="s">
        <v>224</v>
      </c>
      <c r="C42" s="30" t="s">
        <v>31</v>
      </c>
      <c r="D42" s="101">
        <v>70</v>
      </c>
      <c r="E42" s="118" t="s">
        <v>9</v>
      </c>
      <c r="F42" s="101">
        <v>88</v>
      </c>
      <c r="G42" s="118" t="s">
        <v>9</v>
      </c>
      <c r="H42" s="371">
        <v>80</v>
      </c>
      <c r="I42" s="361">
        <f t="shared" si="3"/>
        <v>125.71428571428571</v>
      </c>
      <c r="J42" s="112"/>
      <c r="K42" s="113">
        <f t="shared" si="2"/>
        <v>90.9090909090909</v>
      </c>
    </row>
    <row r="43" spans="1:11" s="10" customFormat="1" ht="39.75" customHeight="1">
      <c r="A43" s="119">
        <v>4</v>
      </c>
      <c r="B43" s="85" t="s">
        <v>101</v>
      </c>
      <c r="C43" s="28" t="s">
        <v>31</v>
      </c>
      <c r="D43" s="109">
        <f>D44+D49+D54+D56</f>
        <v>3443.8</v>
      </c>
      <c r="E43" s="109">
        <f>E44+E49+E54+E56</f>
        <v>3621.6</v>
      </c>
      <c r="F43" s="109">
        <f>F44+F49+F54+F56</f>
        <v>3681.8</v>
      </c>
      <c r="G43" s="88">
        <f>G44+G49+G54+G56</f>
        <v>3877</v>
      </c>
      <c r="H43" s="304">
        <f>H44+H49+H54+H56</f>
        <v>3924.5</v>
      </c>
      <c r="I43" s="356">
        <f t="shared" si="3"/>
        <v>106.91097043963065</v>
      </c>
      <c r="J43" s="89">
        <f>F43/E43*100</f>
        <v>101.66224872984317</v>
      </c>
      <c r="K43" s="90">
        <f t="shared" si="2"/>
        <v>106.59188440436742</v>
      </c>
    </row>
    <row r="44" spans="1:11" s="10" customFormat="1" ht="39.75" customHeight="1">
      <c r="A44" s="27" t="s">
        <v>102</v>
      </c>
      <c r="B44" s="85" t="s">
        <v>145</v>
      </c>
      <c r="C44" s="28" t="s">
        <v>31</v>
      </c>
      <c r="D44" s="109">
        <v>1729</v>
      </c>
      <c r="E44" s="88">
        <v>1762.8</v>
      </c>
      <c r="F44" s="88">
        <v>1759</v>
      </c>
      <c r="G44" s="88">
        <v>1770</v>
      </c>
      <c r="H44" s="304">
        <v>1782</v>
      </c>
      <c r="I44" s="356">
        <f t="shared" si="3"/>
        <v>101.7351069982649</v>
      </c>
      <c r="J44" s="89">
        <f>F44/E44*100</f>
        <v>99.78443385523032</v>
      </c>
      <c r="K44" s="90">
        <f t="shared" si="2"/>
        <v>101.30756111426946</v>
      </c>
    </row>
    <row r="45" spans="1:11" ht="39.75" customHeight="1">
      <c r="A45" s="29"/>
      <c r="B45" s="120" t="s">
        <v>47</v>
      </c>
      <c r="C45" s="30" t="s">
        <v>31</v>
      </c>
      <c r="D45" s="95">
        <v>33.3</v>
      </c>
      <c r="E45" s="92">
        <v>0</v>
      </c>
      <c r="F45" s="92">
        <v>46</v>
      </c>
      <c r="G45" s="92">
        <v>15</v>
      </c>
      <c r="H45" s="208">
        <v>15</v>
      </c>
      <c r="I45" s="361">
        <f t="shared" si="3"/>
        <v>138.13813813813815</v>
      </c>
      <c r="J45" s="112"/>
      <c r="K45" s="113">
        <f t="shared" si="2"/>
        <v>32.608695652173914</v>
      </c>
    </row>
    <row r="46" spans="1:11" ht="39.75" customHeight="1">
      <c r="A46" s="29"/>
      <c r="B46" s="120" t="s">
        <v>228</v>
      </c>
      <c r="C46" s="30" t="s">
        <v>31</v>
      </c>
      <c r="D46" s="95">
        <v>1391.2</v>
      </c>
      <c r="E46" s="92">
        <v>1400</v>
      </c>
      <c r="F46" s="92">
        <v>1546</v>
      </c>
      <c r="G46" s="92">
        <v>1554</v>
      </c>
      <c r="H46" s="208">
        <v>1554</v>
      </c>
      <c r="I46" s="361">
        <f t="shared" si="3"/>
        <v>111.12708453133983</v>
      </c>
      <c r="J46" s="112">
        <f>F46/E46*100</f>
        <v>110.42857142857143</v>
      </c>
      <c r="K46" s="113">
        <f t="shared" si="2"/>
        <v>100.51746442432083</v>
      </c>
    </row>
    <row r="47" spans="1:11" s="2" customFormat="1" ht="39.75" customHeight="1">
      <c r="A47" s="31"/>
      <c r="B47" s="105" t="s">
        <v>37</v>
      </c>
      <c r="C47" s="32" t="s">
        <v>38</v>
      </c>
      <c r="D47" s="106">
        <v>10.11</v>
      </c>
      <c r="E47" s="106">
        <v>12</v>
      </c>
      <c r="F47" s="106">
        <v>9.64</v>
      </c>
      <c r="G47" s="106">
        <v>12.1</v>
      </c>
      <c r="H47" s="369">
        <v>12.1</v>
      </c>
      <c r="I47" s="359">
        <f t="shared" si="3"/>
        <v>95.35113748763602</v>
      </c>
      <c r="J47" s="107">
        <f>F47/E47*100</f>
        <v>80.33333333333333</v>
      </c>
      <c r="K47" s="108">
        <f t="shared" si="2"/>
        <v>125.51867219917013</v>
      </c>
    </row>
    <row r="48" spans="1:11" s="2" customFormat="1" ht="39.75" customHeight="1">
      <c r="A48" s="31"/>
      <c r="B48" s="105" t="s">
        <v>39</v>
      </c>
      <c r="C48" s="32" t="s">
        <v>32</v>
      </c>
      <c r="D48" s="106">
        <v>1406.8</v>
      </c>
      <c r="E48" s="100">
        <v>1680</v>
      </c>
      <c r="F48" s="106">
        <v>1490</v>
      </c>
      <c r="G48" s="106">
        <v>1880</v>
      </c>
      <c r="H48" s="368">
        <v>1880.3</v>
      </c>
      <c r="I48" s="359">
        <f t="shared" si="3"/>
        <v>105.91413136195622</v>
      </c>
      <c r="J48" s="107">
        <f>F48/E48*100</f>
        <v>88.69047619047619</v>
      </c>
      <c r="K48" s="108">
        <f t="shared" si="2"/>
        <v>126.19463087248322</v>
      </c>
    </row>
    <row r="49" spans="1:11" s="10" customFormat="1" ht="39.75" customHeight="1">
      <c r="A49" s="27" t="s">
        <v>103</v>
      </c>
      <c r="B49" s="85" t="s">
        <v>144</v>
      </c>
      <c r="C49" s="28" t="s">
        <v>31</v>
      </c>
      <c r="D49" s="121">
        <v>1533.8</v>
      </c>
      <c r="E49" s="122">
        <v>1538.8</v>
      </c>
      <c r="F49" s="109">
        <v>1577</v>
      </c>
      <c r="G49" s="88">
        <v>1544</v>
      </c>
      <c r="H49" s="304">
        <v>1577</v>
      </c>
      <c r="I49" s="356">
        <f t="shared" si="3"/>
        <v>102.8165340983179</v>
      </c>
      <c r="J49" s="89">
        <f>F49/E49*100</f>
        <v>102.48245386015078</v>
      </c>
      <c r="K49" s="90">
        <f t="shared" si="2"/>
        <v>100</v>
      </c>
    </row>
    <row r="50" spans="1:11" ht="39.75" customHeight="1">
      <c r="A50" s="29"/>
      <c r="B50" s="120" t="s">
        <v>47</v>
      </c>
      <c r="C50" s="30" t="s">
        <v>31</v>
      </c>
      <c r="D50" s="95">
        <v>0</v>
      </c>
      <c r="E50" s="92">
        <v>0</v>
      </c>
      <c r="F50" s="92">
        <v>43</v>
      </c>
      <c r="G50" s="92"/>
      <c r="H50" s="208">
        <v>0</v>
      </c>
      <c r="I50" s="361"/>
      <c r="J50" s="112"/>
      <c r="K50" s="113">
        <f t="shared" si="2"/>
        <v>0</v>
      </c>
    </row>
    <row r="51" spans="1:11" ht="39.75" customHeight="1">
      <c r="A51" s="29"/>
      <c r="B51" s="120" t="s">
        <v>228</v>
      </c>
      <c r="C51" s="30" t="s">
        <v>31</v>
      </c>
      <c r="D51" s="95">
        <v>881.6</v>
      </c>
      <c r="E51" s="95">
        <v>1114</v>
      </c>
      <c r="F51" s="95">
        <v>992.4</v>
      </c>
      <c r="G51" s="92">
        <v>1119</v>
      </c>
      <c r="H51" s="208">
        <v>1119</v>
      </c>
      <c r="I51" s="361">
        <f>F51/D51*100</f>
        <v>112.56805807622503</v>
      </c>
      <c r="J51" s="112">
        <f aca="true" t="shared" si="4" ref="J51:J61">F51/E51*100</f>
        <v>89.08438061041292</v>
      </c>
      <c r="K51" s="113">
        <f t="shared" si="2"/>
        <v>112.75695284159613</v>
      </c>
    </row>
    <row r="52" spans="1:11" s="2" customFormat="1" ht="39.75" customHeight="1">
      <c r="A52" s="31"/>
      <c r="B52" s="105" t="s">
        <v>37</v>
      </c>
      <c r="C52" s="32" t="s">
        <v>48</v>
      </c>
      <c r="D52" s="106">
        <v>6.13</v>
      </c>
      <c r="E52" s="106">
        <v>8.3</v>
      </c>
      <c r="F52" s="106">
        <v>6.46</v>
      </c>
      <c r="G52" s="106">
        <v>8.2</v>
      </c>
      <c r="H52" s="369">
        <v>8.2</v>
      </c>
      <c r="I52" s="361">
        <f>F52/D52*100</f>
        <v>105.38336052202284</v>
      </c>
      <c r="J52" s="112">
        <f t="shared" si="4"/>
        <v>77.83132530120481</v>
      </c>
      <c r="K52" s="113">
        <f t="shared" si="2"/>
        <v>126.93498452012383</v>
      </c>
    </row>
    <row r="53" spans="1:11" s="2" customFormat="1" ht="39.75" customHeight="1">
      <c r="A53" s="31"/>
      <c r="B53" s="105" t="s">
        <v>39</v>
      </c>
      <c r="C53" s="32" t="s">
        <v>32</v>
      </c>
      <c r="D53" s="106">
        <v>540.6</v>
      </c>
      <c r="E53" s="100">
        <v>919</v>
      </c>
      <c r="F53" s="106">
        <v>641</v>
      </c>
      <c r="G53" s="100">
        <v>923</v>
      </c>
      <c r="H53" s="368">
        <v>923.2</v>
      </c>
      <c r="I53" s="361">
        <f>F53/D53*100</f>
        <v>118.57195708472068</v>
      </c>
      <c r="J53" s="112">
        <f t="shared" si="4"/>
        <v>69.74972796517955</v>
      </c>
      <c r="K53" s="113">
        <f t="shared" si="2"/>
        <v>144.02496099843995</v>
      </c>
    </row>
    <row r="54" spans="1:11" s="78" customFormat="1" ht="39.75" customHeight="1">
      <c r="A54" s="27" t="s">
        <v>104</v>
      </c>
      <c r="B54" s="85" t="s">
        <v>172</v>
      </c>
      <c r="C54" s="28" t="s">
        <v>31</v>
      </c>
      <c r="D54" s="109">
        <v>151</v>
      </c>
      <c r="E54" s="88">
        <v>200</v>
      </c>
      <c r="F54" s="109">
        <f>345.8-F56</f>
        <v>189.5</v>
      </c>
      <c r="G54" s="88">
        <v>372</v>
      </c>
      <c r="H54" s="288">
        <v>374.5</v>
      </c>
      <c r="I54" s="363">
        <f>F54/D54*100</f>
        <v>125.49668874172187</v>
      </c>
      <c r="J54" s="123">
        <f t="shared" si="4"/>
        <v>94.75</v>
      </c>
      <c r="K54" s="124">
        <f t="shared" si="2"/>
        <v>197.62532981530342</v>
      </c>
    </row>
    <row r="55" spans="1:11" s="22" customFormat="1" ht="39.75" customHeight="1">
      <c r="A55" s="31"/>
      <c r="B55" s="105" t="s">
        <v>225</v>
      </c>
      <c r="C55" s="32" t="s">
        <v>31</v>
      </c>
      <c r="D55" s="106">
        <v>0</v>
      </c>
      <c r="E55" s="100">
        <v>19</v>
      </c>
      <c r="F55" s="106">
        <v>62.7</v>
      </c>
      <c r="G55" s="100">
        <v>185</v>
      </c>
      <c r="H55" s="368">
        <v>185</v>
      </c>
      <c r="I55" s="363"/>
      <c r="J55" s="234">
        <f t="shared" si="4"/>
        <v>330</v>
      </c>
      <c r="K55" s="236">
        <f t="shared" si="2"/>
        <v>295.0558213716108</v>
      </c>
    </row>
    <row r="56" spans="1:11" s="78" customFormat="1" ht="39.75" customHeight="1">
      <c r="A56" s="27" t="s">
        <v>105</v>
      </c>
      <c r="B56" s="85" t="s">
        <v>173</v>
      </c>
      <c r="C56" s="28" t="s">
        <v>31</v>
      </c>
      <c r="D56" s="109">
        <v>30</v>
      </c>
      <c r="E56" s="88">
        <v>120</v>
      </c>
      <c r="F56" s="109">
        <v>156.3</v>
      </c>
      <c r="G56" s="88">
        <v>191</v>
      </c>
      <c r="H56" s="304">
        <v>191</v>
      </c>
      <c r="I56" s="356">
        <f>F56/D56*100</f>
        <v>521</v>
      </c>
      <c r="J56" s="89">
        <f t="shared" si="4"/>
        <v>130.25</v>
      </c>
      <c r="K56" s="90">
        <f t="shared" si="2"/>
        <v>122.20089571337172</v>
      </c>
    </row>
    <row r="57" spans="1:11" s="22" customFormat="1" ht="39.75" customHeight="1">
      <c r="A57" s="31"/>
      <c r="B57" s="105" t="s">
        <v>225</v>
      </c>
      <c r="C57" s="32" t="s">
        <v>31</v>
      </c>
      <c r="D57" s="106">
        <v>0</v>
      </c>
      <c r="E57" s="100">
        <v>90</v>
      </c>
      <c r="F57" s="106">
        <v>126.3</v>
      </c>
      <c r="G57" s="100">
        <v>35</v>
      </c>
      <c r="H57" s="368">
        <v>35</v>
      </c>
      <c r="I57" s="359"/>
      <c r="J57" s="107">
        <f t="shared" si="4"/>
        <v>140.33333333333334</v>
      </c>
      <c r="K57" s="108">
        <f t="shared" si="2"/>
        <v>27.711797307996832</v>
      </c>
    </row>
    <row r="58" spans="1:11" s="17" customFormat="1" ht="39.75" customHeight="1">
      <c r="A58" s="27">
        <v>5</v>
      </c>
      <c r="B58" s="85" t="s">
        <v>164</v>
      </c>
      <c r="C58" s="28" t="s">
        <v>31</v>
      </c>
      <c r="D58" s="109">
        <f>D59+D61</f>
        <v>303.5</v>
      </c>
      <c r="E58" s="109">
        <f>E59+E61</f>
        <v>965</v>
      </c>
      <c r="F58" s="109">
        <f>F59+F61</f>
        <v>644.7</v>
      </c>
      <c r="G58" s="88">
        <f>G59+G61</f>
        <v>938</v>
      </c>
      <c r="H58" s="288">
        <f>H59+H61</f>
        <v>954.5</v>
      </c>
      <c r="I58" s="356">
        <f>F58/D58*100</f>
        <v>212.4217462932455</v>
      </c>
      <c r="J58" s="89">
        <f t="shared" si="4"/>
        <v>66.80829015544042</v>
      </c>
      <c r="K58" s="90">
        <f t="shared" si="2"/>
        <v>148.05335815107802</v>
      </c>
    </row>
    <row r="59" spans="1:12" s="17" customFormat="1" ht="39.75" customHeight="1">
      <c r="A59" s="119" t="s">
        <v>229</v>
      </c>
      <c r="B59" s="116" t="s">
        <v>226</v>
      </c>
      <c r="C59" s="28" t="s">
        <v>31</v>
      </c>
      <c r="D59" s="125">
        <v>5.3</v>
      </c>
      <c r="E59" s="109">
        <v>15</v>
      </c>
      <c r="F59" s="109">
        <v>21.2</v>
      </c>
      <c r="G59" s="88">
        <v>31</v>
      </c>
      <c r="H59" s="304">
        <v>31</v>
      </c>
      <c r="I59" s="356">
        <f>F59/D59*100</f>
        <v>400</v>
      </c>
      <c r="J59" s="89">
        <f t="shared" si="4"/>
        <v>141.33333333333334</v>
      </c>
      <c r="K59" s="90">
        <f t="shared" si="2"/>
        <v>146.22641509433961</v>
      </c>
      <c r="L59" s="79"/>
    </row>
    <row r="60" spans="1:11" s="21" customFormat="1" ht="39.75" customHeight="1">
      <c r="A60" s="31"/>
      <c r="B60" s="105" t="s">
        <v>225</v>
      </c>
      <c r="C60" s="32" t="s">
        <v>31</v>
      </c>
      <c r="D60" s="106">
        <v>0</v>
      </c>
      <c r="E60" s="106">
        <v>10.6</v>
      </c>
      <c r="F60" s="106">
        <v>15.9</v>
      </c>
      <c r="G60" s="100">
        <v>10</v>
      </c>
      <c r="H60" s="368">
        <v>10</v>
      </c>
      <c r="I60" s="359"/>
      <c r="J60" s="107">
        <f t="shared" si="4"/>
        <v>150</v>
      </c>
      <c r="K60" s="108">
        <f t="shared" si="2"/>
        <v>62.893081761006286</v>
      </c>
    </row>
    <row r="61" spans="1:11" s="17" customFormat="1" ht="39.75" customHeight="1">
      <c r="A61" s="119" t="s">
        <v>230</v>
      </c>
      <c r="B61" s="116" t="s">
        <v>227</v>
      </c>
      <c r="C61" s="28" t="s">
        <v>31</v>
      </c>
      <c r="D61" s="109">
        <v>298.2</v>
      </c>
      <c r="E61" s="109">
        <v>950</v>
      </c>
      <c r="F61" s="109">
        <v>623.5</v>
      </c>
      <c r="G61" s="88">
        <v>907</v>
      </c>
      <c r="H61" s="304">
        <v>923.5</v>
      </c>
      <c r="I61" s="356">
        <f>F61/D61*100</f>
        <v>209.0878604963112</v>
      </c>
      <c r="J61" s="89">
        <f t="shared" si="4"/>
        <v>65.63157894736842</v>
      </c>
      <c r="K61" s="90">
        <f t="shared" si="2"/>
        <v>148.11547714514836</v>
      </c>
    </row>
    <row r="62" spans="1:11" s="21" customFormat="1" ht="39.75" customHeight="1">
      <c r="A62" s="292"/>
      <c r="B62" s="282" t="s">
        <v>300</v>
      </c>
      <c r="C62" s="281" t="s">
        <v>31</v>
      </c>
      <c r="D62" s="224"/>
      <c r="E62" s="224"/>
      <c r="F62" s="106"/>
      <c r="G62" s="100">
        <v>300</v>
      </c>
      <c r="H62" s="368">
        <f>H65+H68</f>
        <v>300</v>
      </c>
      <c r="I62" s="358"/>
      <c r="J62" s="103"/>
      <c r="K62" s="104"/>
    </row>
    <row r="63" spans="1:11" s="16" customFormat="1" ht="39.75" customHeight="1">
      <c r="A63" s="97"/>
      <c r="B63" s="283" t="s">
        <v>301</v>
      </c>
      <c r="C63" s="280" t="s">
        <v>31</v>
      </c>
      <c r="D63" s="284">
        <v>292</v>
      </c>
      <c r="E63" s="223"/>
      <c r="F63" s="95">
        <v>609.8</v>
      </c>
      <c r="G63" s="126" t="s">
        <v>9</v>
      </c>
      <c r="H63" s="208">
        <v>890</v>
      </c>
      <c r="I63" s="357"/>
      <c r="J63" s="93"/>
      <c r="K63" s="94"/>
    </row>
    <row r="64" spans="1:11" s="21" customFormat="1" ht="39.75" customHeight="1">
      <c r="A64" s="292"/>
      <c r="B64" s="282" t="s">
        <v>302</v>
      </c>
      <c r="C64" s="281" t="s">
        <v>31</v>
      </c>
      <c r="D64" s="285"/>
      <c r="E64" s="224"/>
      <c r="F64" s="106"/>
      <c r="G64" s="126" t="s">
        <v>9</v>
      </c>
      <c r="H64" s="368">
        <v>610</v>
      </c>
      <c r="I64" s="358"/>
      <c r="J64" s="103"/>
      <c r="K64" s="104"/>
    </row>
    <row r="65" spans="1:11" s="21" customFormat="1" ht="39.75" customHeight="1">
      <c r="A65" s="292"/>
      <c r="B65" s="282" t="s">
        <v>303</v>
      </c>
      <c r="C65" s="281" t="s">
        <v>31</v>
      </c>
      <c r="D65" s="285"/>
      <c r="E65" s="224"/>
      <c r="F65" s="106"/>
      <c r="G65" s="126" t="s">
        <v>9</v>
      </c>
      <c r="H65" s="368">
        <v>280</v>
      </c>
      <c r="I65" s="358"/>
      <c r="J65" s="103"/>
      <c r="K65" s="104"/>
    </row>
    <row r="66" spans="1:11" s="16" customFormat="1" ht="39.75" customHeight="1">
      <c r="A66" s="97"/>
      <c r="B66" s="286" t="s">
        <v>304</v>
      </c>
      <c r="C66" s="280" t="s">
        <v>31</v>
      </c>
      <c r="D66" s="284">
        <v>6.2</v>
      </c>
      <c r="E66" s="221"/>
      <c r="F66" s="95">
        <v>13.7</v>
      </c>
      <c r="G66" s="126" t="s">
        <v>9</v>
      </c>
      <c r="H66" s="287">
        <v>33.7</v>
      </c>
      <c r="I66" s="357"/>
      <c r="J66" s="93"/>
      <c r="K66" s="94"/>
    </row>
    <row r="67" spans="1:11" s="21" customFormat="1" ht="39.75" customHeight="1">
      <c r="A67" s="292"/>
      <c r="B67" s="282" t="s">
        <v>302</v>
      </c>
      <c r="C67" s="281" t="s">
        <v>97</v>
      </c>
      <c r="D67" s="285"/>
      <c r="E67" s="222"/>
      <c r="F67" s="106"/>
      <c r="G67" s="126" t="s">
        <v>9</v>
      </c>
      <c r="H67" s="369">
        <v>13.7</v>
      </c>
      <c r="I67" s="358"/>
      <c r="J67" s="103"/>
      <c r="K67" s="104"/>
    </row>
    <row r="68" spans="1:11" s="21" customFormat="1" ht="39.75" customHeight="1">
      <c r="A68" s="292"/>
      <c r="B68" s="282" t="s">
        <v>303</v>
      </c>
      <c r="C68" s="281" t="s">
        <v>31</v>
      </c>
      <c r="D68" s="285"/>
      <c r="E68" s="222"/>
      <c r="F68" s="106"/>
      <c r="G68" s="126" t="s">
        <v>9</v>
      </c>
      <c r="H68" s="368">
        <v>20</v>
      </c>
      <c r="I68" s="358"/>
      <c r="J68" s="103"/>
      <c r="K68" s="104"/>
    </row>
    <row r="69" spans="1:11" ht="39.75" customHeight="1">
      <c r="A69" s="27" t="s">
        <v>57</v>
      </c>
      <c r="B69" s="85" t="s">
        <v>106</v>
      </c>
      <c r="C69" s="146"/>
      <c r="D69" s="205"/>
      <c r="E69" s="146"/>
      <c r="F69" s="88"/>
      <c r="G69" s="88"/>
      <c r="H69" s="304"/>
      <c r="I69" s="361"/>
      <c r="J69" s="112"/>
      <c r="K69" s="113"/>
    </row>
    <row r="70" spans="1:11" s="10" customFormat="1" ht="39.75" customHeight="1">
      <c r="A70" s="27"/>
      <c r="B70" s="85" t="s">
        <v>231</v>
      </c>
      <c r="C70" s="28" t="s">
        <v>50</v>
      </c>
      <c r="D70" s="88">
        <f>D71+D72+D73</f>
        <v>23499</v>
      </c>
      <c r="E70" s="88">
        <f>E71+E72+E73</f>
        <v>26516</v>
      </c>
      <c r="F70" s="88">
        <f>F71+F72+F73</f>
        <v>26516</v>
      </c>
      <c r="G70" s="88">
        <f>G71+G72+G73</f>
        <v>29600</v>
      </c>
      <c r="H70" s="304">
        <f>H71+H72+H73</f>
        <v>29600</v>
      </c>
      <c r="I70" s="356">
        <f>F70/D70*100</f>
        <v>112.83884420613643</v>
      </c>
      <c r="J70" s="89">
        <f>F70/E70*100</f>
        <v>100</v>
      </c>
      <c r="K70" s="90">
        <f t="shared" si="2"/>
        <v>111.63071353145271</v>
      </c>
    </row>
    <row r="71" spans="1:11" ht="39.75" customHeight="1">
      <c r="A71" s="29">
        <v>1</v>
      </c>
      <c r="B71" s="91" t="s">
        <v>232</v>
      </c>
      <c r="C71" s="30" t="s">
        <v>50</v>
      </c>
      <c r="D71" s="92">
        <v>3290</v>
      </c>
      <c r="E71" s="92">
        <v>3421</v>
      </c>
      <c r="F71" s="92">
        <v>3421</v>
      </c>
      <c r="G71" s="92">
        <v>3600</v>
      </c>
      <c r="H71" s="208">
        <v>3600</v>
      </c>
      <c r="I71" s="357">
        <f>F71/D71*100</f>
        <v>103.98176291793312</v>
      </c>
      <c r="J71" s="93">
        <f>F71/E71*100</f>
        <v>100</v>
      </c>
      <c r="K71" s="94">
        <f t="shared" si="2"/>
        <v>105.23238819058756</v>
      </c>
    </row>
    <row r="72" spans="1:11" ht="39.75" customHeight="1">
      <c r="A72" s="29">
        <v>2</v>
      </c>
      <c r="B72" s="91" t="s">
        <v>233</v>
      </c>
      <c r="C72" s="30" t="s">
        <v>50</v>
      </c>
      <c r="D72" s="92">
        <v>10466</v>
      </c>
      <c r="E72" s="92">
        <v>11595</v>
      </c>
      <c r="F72" s="92">
        <v>11595</v>
      </c>
      <c r="G72" s="92">
        <v>11000</v>
      </c>
      <c r="H72" s="208">
        <v>11000</v>
      </c>
      <c r="I72" s="357">
        <f>F72/D72*100</f>
        <v>110.78731129371297</v>
      </c>
      <c r="J72" s="93">
        <f>F72/E72*100</f>
        <v>100</v>
      </c>
      <c r="K72" s="94">
        <f t="shared" si="2"/>
        <v>94.86847779215178</v>
      </c>
    </row>
    <row r="73" spans="1:11" ht="39.75" customHeight="1">
      <c r="A73" s="29">
        <v>3</v>
      </c>
      <c r="B73" s="91" t="s">
        <v>234</v>
      </c>
      <c r="C73" s="30" t="s">
        <v>50</v>
      </c>
      <c r="D73" s="92">
        <v>9743</v>
      </c>
      <c r="E73" s="92">
        <v>11500</v>
      </c>
      <c r="F73" s="92">
        <v>11500</v>
      </c>
      <c r="G73" s="92">
        <v>15000</v>
      </c>
      <c r="H73" s="208">
        <v>15000</v>
      </c>
      <c r="I73" s="357">
        <f>F73/D73*100</f>
        <v>118.03345991994252</v>
      </c>
      <c r="J73" s="93">
        <f>F73/E73*100</f>
        <v>100</v>
      </c>
      <c r="K73" s="94">
        <f t="shared" si="2"/>
        <v>130.43478260869566</v>
      </c>
    </row>
    <row r="74" spans="1:11" ht="39.75" customHeight="1">
      <c r="A74" s="27" t="s">
        <v>70</v>
      </c>
      <c r="B74" s="85" t="s">
        <v>107</v>
      </c>
      <c r="C74" s="28"/>
      <c r="D74" s="109"/>
      <c r="E74" s="109"/>
      <c r="F74" s="109"/>
      <c r="G74" s="109"/>
      <c r="H74" s="288"/>
      <c r="I74" s="361"/>
      <c r="J74" s="112"/>
      <c r="K74" s="113"/>
    </row>
    <row r="75" spans="1:11" s="10" customFormat="1" ht="39.75" customHeight="1">
      <c r="A75" s="27" t="s">
        <v>95</v>
      </c>
      <c r="B75" s="85" t="s">
        <v>108</v>
      </c>
      <c r="C75" s="28" t="s">
        <v>32</v>
      </c>
      <c r="D75" s="109">
        <f>D77+D87</f>
        <v>58.8</v>
      </c>
      <c r="E75" s="109">
        <f>E77+E87</f>
        <v>67</v>
      </c>
      <c r="F75" s="109">
        <f>F77+F87</f>
        <v>59.400000000000006</v>
      </c>
      <c r="G75" s="109">
        <f>G77+G87</f>
        <v>68</v>
      </c>
      <c r="H75" s="288">
        <f>H77+H87</f>
        <v>68.30000000000001</v>
      </c>
      <c r="I75" s="356">
        <f>F75/D75*100</f>
        <v>101.02040816326532</v>
      </c>
      <c r="J75" s="89">
        <f>F75/E75*100</f>
        <v>88.65671641791046</v>
      </c>
      <c r="K75" s="90">
        <f t="shared" si="2"/>
        <v>114.98316498316498</v>
      </c>
    </row>
    <row r="76" spans="1:11" ht="39.75" customHeight="1">
      <c r="A76" s="29">
        <v>1</v>
      </c>
      <c r="B76" s="91" t="s">
        <v>109</v>
      </c>
      <c r="C76" s="30"/>
      <c r="D76" s="95"/>
      <c r="E76" s="126"/>
      <c r="F76" s="95"/>
      <c r="G76" s="95"/>
      <c r="H76" s="287"/>
      <c r="I76" s="361"/>
      <c r="J76" s="112"/>
      <c r="K76" s="113"/>
    </row>
    <row r="77" spans="1:11" ht="39.75" customHeight="1">
      <c r="A77" s="29"/>
      <c r="B77" s="91" t="s">
        <v>110</v>
      </c>
      <c r="C77" s="30" t="s">
        <v>32</v>
      </c>
      <c r="D77" s="95">
        <f>D80+D83+D86</f>
        <v>40.1</v>
      </c>
      <c r="E77" s="95">
        <f>E80+E83+E86</f>
        <v>54</v>
      </c>
      <c r="F77" s="95">
        <f>F80+F83+F86</f>
        <v>40.2</v>
      </c>
      <c r="G77" s="95">
        <f>G80+G83+G86</f>
        <v>54</v>
      </c>
      <c r="H77" s="287">
        <f>H80+H83+H86</f>
        <v>54.300000000000004</v>
      </c>
      <c r="I77" s="357">
        <f aca="true" t="shared" si="5" ref="I77:I83">F77/D77*100</f>
        <v>100.24937655860349</v>
      </c>
      <c r="J77" s="93">
        <f aca="true" t="shared" si="6" ref="J77:J83">F77/E77*100</f>
        <v>74.44444444444444</v>
      </c>
      <c r="K77" s="94">
        <f aca="true" t="shared" si="7" ref="K77:K83">H77/F77*100</f>
        <v>135.07462686567163</v>
      </c>
    </row>
    <row r="78" spans="1:11" ht="39.75" customHeight="1">
      <c r="A78" s="127" t="s">
        <v>98</v>
      </c>
      <c r="B78" s="91" t="s">
        <v>51</v>
      </c>
      <c r="C78" s="30" t="s">
        <v>97</v>
      </c>
      <c r="D78" s="95">
        <v>31</v>
      </c>
      <c r="E78" s="95">
        <v>31</v>
      </c>
      <c r="F78" s="95">
        <v>31</v>
      </c>
      <c r="G78" s="92">
        <v>31</v>
      </c>
      <c r="H78" s="208">
        <v>31</v>
      </c>
      <c r="I78" s="357">
        <f t="shared" si="5"/>
        <v>100</v>
      </c>
      <c r="J78" s="93">
        <f t="shared" si="6"/>
        <v>100</v>
      </c>
      <c r="K78" s="94">
        <f t="shared" si="7"/>
        <v>100</v>
      </c>
    </row>
    <row r="79" spans="1:11" ht="39.75" customHeight="1">
      <c r="A79" s="29"/>
      <c r="B79" s="91" t="s">
        <v>37</v>
      </c>
      <c r="C79" s="30" t="s">
        <v>38</v>
      </c>
      <c r="D79" s="95">
        <v>10.5</v>
      </c>
      <c r="E79" s="95">
        <v>13.5</v>
      </c>
      <c r="F79" s="95">
        <v>10.4</v>
      </c>
      <c r="G79" s="95">
        <v>13.5</v>
      </c>
      <c r="H79" s="287">
        <v>13.5</v>
      </c>
      <c r="I79" s="357">
        <f t="shared" si="5"/>
        <v>99.04761904761905</v>
      </c>
      <c r="J79" s="93">
        <f t="shared" si="6"/>
        <v>77.03703703703704</v>
      </c>
      <c r="K79" s="94">
        <f t="shared" si="7"/>
        <v>129.80769230769232</v>
      </c>
    </row>
    <row r="80" spans="1:11" ht="39.75" customHeight="1">
      <c r="A80" s="29"/>
      <c r="B80" s="91" t="s">
        <v>39</v>
      </c>
      <c r="C80" s="30" t="s">
        <v>11</v>
      </c>
      <c r="D80" s="95">
        <v>32.6</v>
      </c>
      <c r="E80" s="95">
        <v>41.9</v>
      </c>
      <c r="F80" s="95">
        <v>32.2</v>
      </c>
      <c r="G80" s="92">
        <v>42</v>
      </c>
      <c r="H80" s="208">
        <v>41.7</v>
      </c>
      <c r="I80" s="357">
        <f t="shared" si="5"/>
        <v>98.77300613496934</v>
      </c>
      <c r="J80" s="93">
        <f t="shared" si="6"/>
        <v>76.84964200477327</v>
      </c>
      <c r="K80" s="94">
        <f t="shared" si="7"/>
        <v>129.50310559006212</v>
      </c>
    </row>
    <row r="81" spans="1:11" ht="39.75" customHeight="1">
      <c r="A81" s="128" t="s">
        <v>100</v>
      </c>
      <c r="B81" s="129" t="s">
        <v>153</v>
      </c>
      <c r="C81" s="130" t="s">
        <v>97</v>
      </c>
      <c r="D81" s="95">
        <v>8</v>
      </c>
      <c r="E81" s="95">
        <v>8</v>
      </c>
      <c r="F81" s="95">
        <v>8</v>
      </c>
      <c r="G81" s="92">
        <v>8</v>
      </c>
      <c r="H81" s="208">
        <v>8</v>
      </c>
      <c r="I81" s="357">
        <f t="shared" si="5"/>
        <v>100</v>
      </c>
      <c r="J81" s="93">
        <f t="shared" si="6"/>
        <v>100</v>
      </c>
      <c r="K81" s="94">
        <f t="shared" si="7"/>
        <v>100</v>
      </c>
    </row>
    <row r="82" spans="1:11" ht="39.75" customHeight="1">
      <c r="A82" s="128"/>
      <c r="B82" s="291" t="s">
        <v>37</v>
      </c>
      <c r="C82" s="130" t="s">
        <v>99</v>
      </c>
      <c r="D82" s="95">
        <v>13.3</v>
      </c>
      <c r="E82" s="95">
        <v>13.3</v>
      </c>
      <c r="F82" s="95">
        <v>10</v>
      </c>
      <c r="G82" s="95">
        <v>12.5</v>
      </c>
      <c r="H82" s="287">
        <v>13.3</v>
      </c>
      <c r="I82" s="357">
        <f t="shared" si="5"/>
        <v>75.18796992481202</v>
      </c>
      <c r="J82" s="93">
        <f t="shared" si="6"/>
        <v>75.18796992481202</v>
      </c>
      <c r="K82" s="94">
        <f t="shared" si="7"/>
        <v>133</v>
      </c>
    </row>
    <row r="83" spans="1:11" ht="39.75" customHeight="1">
      <c r="A83" s="128"/>
      <c r="B83" s="291" t="s">
        <v>39</v>
      </c>
      <c r="C83" s="130" t="s">
        <v>32</v>
      </c>
      <c r="D83" s="95">
        <v>7.5</v>
      </c>
      <c r="E83" s="95">
        <v>10.6</v>
      </c>
      <c r="F83" s="95">
        <v>8</v>
      </c>
      <c r="G83" s="95">
        <v>10</v>
      </c>
      <c r="H83" s="287">
        <v>10.6</v>
      </c>
      <c r="I83" s="357">
        <f t="shared" si="5"/>
        <v>106.66666666666667</v>
      </c>
      <c r="J83" s="93">
        <f t="shared" si="6"/>
        <v>75.47169811320755</v>
      </c>
      <c r="K83" s="94">
        <f t="shared" si="7"/>
        <v>132.5</v>
      </c>
    </row>
    <row r="84" spans="1:11" s="11" customFormat="1" ht="39.75" customHeight="1">
      <c r="A84" s="128" t="s">
        <v>235</v>
      </c>
      <c r="B84" s="129" t="s">
        <v>167</v>
      </c>
      <c r="C84" s="130" t="s">
        <v>168</v>
      </c>
      <c r="D84" s="131">
        <v>0</v>
      </c>
      <c r="E84" s="126">
        <v>5</v>
      </c>
      <c r="F84" s="131">
        <v>0</v>
      </c>
      <c r="G84" s="131">
        <v>5</v>
      </c>
      <c r="H84" s="208">
        <v>5</v>
      </c>
      <c r="I84" s="361"/>
      <c r="J84" s="112"/>
      <c r="K84" s="113"/>
    </row>
    <row r="85" spans="1:11" s="11" customFormat="1" ht="39.75" customHeight="1">
      <c r="A85" s="128"/>
      <c r="B85" s="291" t="s">
        <v>37</v>
      </c>
      <c r="C85" s="130" t="s">
        <v>169</v>
      </c>
      <c r="D85" s="131">
        <v>0</v>
      </c>
      <c r="E85" s="126">
        <v>3</v>
      </c>
      <c r="F85" s="131">
        <v>0</v>
      </c>
      <c r="G85" s="131">
        <v>4</v>
      </c>
      <c r="H85" s="208">
        <v>4</v>
      </c>
      <c r="I85" s="361"/>
      <c r="J85" s="112"/>
      <c r="K85" s="113"/>
    </row>
    <row r="86" spans="1:11" s="11" customFormat="1" ht="39.75" customHeight="1">
      <c r="A86" s="128"/>
      <c r="B86" s="291" t="s">
        <v>39</v>
      </c>
      <c r="C86" s="130" t="s">
        <v>11</v>
      </c>
      <c r="D86" s="131">
        <v>0</v>
      </c>
      <c r="E86" s="126">
        <v>1.5</v>
      </c>
      <c r="F86" s="131">
        <v>0</v>
      </c>
      <c r="G86" s="131">
        <v>2</v>
      </c>
      <c r="H86" s="208">
        <v>2</v>
      </c>
      <c r="I86" s="361"/>
      <c r="J86" s="112"/>
      <c r="K86" s="113"/>
    </row>
    <row r="87" spans="1:11" ht="39.75" customHeight="1">
      <c r="A87" s="29">
        <v>2</v>
      </c>
      <c r="B87" s="91" t="s">
        <v>111</v>
      </c>
      <c r="C87" s="30" t="s">
        <v>32</v>
      </c>
      <c r="D87" s="126">
        <v>18.7</v>
      </c>
      <c r="E87" s="126">
        <v>13</v>
      </c>
      <c r="F87" s="126">
        <v>19.2</v>
      </c>
      <c r="G87" s="131">
        <v>14</v>
      </c>
      <c r="H87" s="208">
        <v>14</v>
      </c>
      <c r="I87" s="357">
        <f>F87/D87*100</f>
        <v>102.67379679144386</v>
      </c>
      <c r="J87" s="93">
        <f>F87/E87*100</f>
        <v>147.69230769230768</v>
      </c>
      <c r="K87" s="94">
        <f>H87/F87*100</f>
        <v>72.91666666666667</v>
      </c>
    </row>
    <row r="88" spans="1:11" ht="39.75" customHeight="1">
      <c r="A88" s="27" t="s">
        <v>176</v>
      </c>
      <c r="B88" s="133" t="s">
        <v>236</v>
      </c>
      <c r="C88" s="30"/>
      <c r="D88" s="95"/>
      <c r="E88" s="95"/>
      <c r="F88" s="95"/>
      <c r="G88" s="95"/>
      <c r="H88" s="287"/>
      <c r="I88" s="361"/>
      <c r="J88" s="112"/>
      <c r="K88" s="113"/>
    </row>
    <row r="89" spans="1:11" ht="39.75" customHeight="1">
      <c r="A89" s="134"/>
      <c r="B89" s="135" t="s">
        <v>52</v>
      </c>
      <c r="C89" s="30" t="s">
        <v>53</v>
      </c>
      <c r="D89" s="95">
        <v>13.1</v>
      </c>
      <c r="E89" s="95">
        <v>14.5</v>
      </c>
      <c r="F89" s="95">
        <v>14.5</v>
      </c>
      <c r="G89" s="126" t="s">
        <v>9</v>
      </c>
      <c r="H89" s="372">
        <v>15.2</v>
      </c>
      <c r="I89" s="357">
        <f>F89/D89*100</f>
        <v>110.68702290076335</v>
      </c>
      <c r="J89" s="93">
        <f>F89/E89*100</f>
        <v>100</v>
      </c>
      <c r="K89" s="94">
        <f>H89/F89*100</f>
        <v>104.82758620689654</v>
      </c>
    </row>
    <row r="90" spans="1:11" ht="39.75" customHeight="1">
      <c r="A90" s="134"/>
      <c r="B90" s="135" t="s">
        <v>54</v>
      </c>
      <c r="C90" s="30" t="s">
        <v>55</v>
      </c>
      <c r="D90" s="92">
        <v>2</v>
      </c>
      <c r="E90" s="92">
        <v>3</v>
      </c>
      <c r="F90" s="92">
        <v>3</v>
      </c>
      <c r="G90" s="126" t="s">
        <v>9</v>
      </c>
      <c r="H90" s="208">
        <v>3</v>
      </c>
      <c r="I90" s="357">
        <f>F90/D90*100</f>
        <v>150</v>
      </c>
      <c r="J90" s="93">
        <f>F90/E90*100</f>
        <v>100</v>
      </c>
      <c r="K90" s="94">
        <f>H90/F90*100</f>
        <v>100</v>
      </c>
    </row>
    <row r="91" spans="1:11" ht="39.75" customHeight="1">
      <c r="A91" s="134"/>
      <c r="B91" s="135" t="s">
        <v>56</v>
      </c>
      <c r="C91" s="30" t="s">
        <v>8</v>
      </c>
      <c r="D91" s="95">
        <f>D90/11*100</f>
        <v>18.181818181818183</v>
      </c>
      <c r="E91" s="95">
        <f>E90/11*100</f>
        <v>27.27272727272727</v>
      </c>
      <c r="F91" s="95">
        <f>F90/11*100</f>
        <v>27.27272727272727</v>
      </c>
      <c r="G91" s="126" t="s">
        <v>9</v>
      </c>
      <c r="H91" s="287">
        <f>H90/11*100</f>
        <v>27.27272727272727</v>
      </c>
      <c r="I91" s="357">
        <f>F91/D91*100</f>
        <v>149.99999999999997</v>
      </c>
      <c r="J91" s="93">
        <f>F91/E91*100</f>
        <v>100</v>
      </c>
      <c r="K91" s="94">
        <f>H91/F91*100</f>
        <v>100</v>
      </c>
    </row>
    <row r="92" spans="1:11" s="10" customFormat="1" ht="39.75" customHeight="1">
      <c r="A92" s="27" t="s">
        <v>237</v>
      </c>
      <c r="B92" s="133" t="s">
        <v>175</v>
      </c>
      <c r="C92" s="28"/>
      <c r="D92" s="109"/>
      <c r="E92" s="109"/>
      <c r="F92" s="109"/>
      <c r="G92" s="109"/>
      <c r="H92" s="288"/>
      <c r="I92" s="361"/>
      <c r="J92" s="112"/>
      <c r="K92" s="113"/>
    </row>
    <row r="93" spans="1:11" s="11" customFormat="1" ht="39.75" customHeight="1">
      <c r="A93" s="97" t="s">
        <v>9</v>
      </c>
      <c r="B93" s="136" t="s">
        <v>238</v>
      </c>
      <c r="C93" s="137" t="s">
        <v>97</v>
      </c>
      <c r="D93" s="95">
        <v>19.3</v>
      </c>
      <c r="E93" s="92">
        <v>400</v>
      </c>
      <c r="F93" s="95">
        <f>F94+F95</f>
        <v>403.61</v>
      </c>
      <c r="G93" s="92">
        <f>G94+G95</f>
        <v>560</v>
      </c>
      <c r="H93" s="208">
        <f>H94+H95</f>
        <v>560</v>
      </c>
      <c r="I93" s="364">
        <f>F93/D93*100</f>
        <v>2091.2435233160622</v>
      </c>
      <c r="J93" s="138">
        <f>F93/E93*100</f>
        <v>100.9025</v>
      </c>
      <c r="K93" s="139">
        <f>H93/F93*100</f>
        <v>138.74780109511659</v>
      </c>
    </row>
    <row r="94" spans="1:11" s="22" customFormat="1" ht="39.75" customHeight="1">
      <c r="A94" s="292"/>
      <c r="B94" s="293" t="s">
        <v>308</v>
      </c>
      <c r="C94" s="84" t="s">
        <v>97</v>
      </c>
      <c r="D94" s="132" t="s">
        <v>9</v>
      </c>
      <c r="E94" s="100"/>
      <c r="F94" s="106">
        <v>370</v>
      </c>
      <c r="G94" s="100">
        <v>300</v>
      </c>
      <c r="H94" s="368">
        <v>300</v>
      </c>
      <c r="I94" s="365"/>
      <c r="J94" s="234"/>
      <c r="K94" s="236">
        <f>H94/F94*100</f>
        <v>81.08108108108108</v>
      </c>
    </row>
    <row r="95" spans="1:11" s="22" customFormat="1" ht="39.75" customHeight="1">
      <c r="A95" s="292"/>
      <c r="B95" s="293" t="s">
        <v>307</v>
      </c>
      <c r="C95" s="84" t="s">
        <v>97</v>
      </c>
      <c r="D95" s="132" t="s">
        <v>9</v>
      </c>
      <c r="E95" s="100"/>
      <c r="F95" s="106">
        <v>33.61</v>
      </c>
      <c r="G95" s="100">
        <v>260</v>
      </c>
      <c r="H95" s="368">
        <v>260</v>
      </c>
      <c r="I95" s="365"/>
      <c r="J95" s="234"/>
      <c r="K95" s="236">
        <f>H95/F95*100</f>
        <v>773.5792918774174</v>
      </c>
    </row>
    <row r="96" spans="1:11" s="11" customFormat="1" ht="39.75" customHeight="1">
      <c r="A96" s="97" t="s">
        <v>9</v>
      </c>
      <c r="B96" s="136" t="s">
        <v>178</v>
      </c>
      <c r="C96" s="137" t="s">
        <v>8</v>
      </c>
      <c r="D96" s="95">
        <v>72</v>
      </c>
      <c r="E96" s="96">
        <v>72.14</v>
      </c>
      <c r="F96" s="96">
        <v>72.14</v>
      </c>
      <c r="G96" s="294" t="s">
        <v>9</v>
      </c>
      <c r="H96" s="372">
        <v>72.14</v>
      </c>
      <c r="I96" s="364">
        <f>F96/D96*100</f>
        <v>100.19444444444446</v>
      </c>
      <c r="J96" s="138">
        <f>F96/E96*100</f>
        <v>100</v>
      </c>
      <c r="K96" s="115">
        <f>H96/F96*100</f>
        <v>100</v>
      </c>
    </row>
    <row r="97" spans="1:11" ht="39.75" customHeight="1">
      <c r="A97" s="27" t="s">
        <v>239</v>
      </c>
      <c r="B97" s="133" t="s">
        <v>58</v>
      </c>
      <c r="C97" s="28"/>
      <c r="D97" s="109"/>
      <c r="E97" s="109"/>
      <c r="F97" s="109"/>
      <c r="G97" s="109"/>
      <c r="H97" s="288"/>
      <c r="I97" s="361"/>
      <c r="J97" s="112"/>
      <c r="K97" s="94"/>
    </row>
    <row r="98" spans="1:11" ht="39.75" customHeight="1">
      <c r="A98" s="29">
        <v>1</v>
      </c>
      <c r="B98" s="91" t="s">
        <v>59</v>
      </c>
      <c r="C98" s="30"/>
      <c r="D98" s="95"/>
      <c r="E98" s="95"/>
      <c r="F98" s="95"/>
      <c r="G98" s="95"/>
      <c r="H98" s="287"/>
      <c r="I98" s="361"/>
      <c r="J98" s="112"/>
      <c r="K98" s="113"/>
    </row>
    <row r="99" spans="1:11" ht="39.75" customHeight="1">
      <c r="A99" s="29"/>
      <c r="B99" s="91" t="s">
        <v>60</v>
      </c>
      <c r="C99" s="140" t="s">
        <v>166</v>
      </c>
      <c r="D99" s="92">
        <v>903790</v>
      </c>
      <c r="E99" s="92">
        <v>98000</v>
      </c>
      <c r="F99" s="92">
        <v>97000</v>
      </c>
      <c r="G99" s="131" t="s">
        <v>9</v>
      </c>
      <c r="H99" s="208">
        <v>129000</v>
      </c>
      <c r="I99" s="357">
        <f>F99/D99*100</f>
        <v>10.732581683798227</v>
      </c>
      <c r="J99" s="93">
        <f>F99/E99*100</f>
        <v>98.9795918367347</v>
      </c>
      <c r="K99" s="94">
        <f>H99/F99*100</f>
        <v>132.98969072164948</v>
      </c>
    </row>
    <row r="100" spans="1:11" ht="39.75" customHeight="1">
      <c r="A100" s="29">
        <v>2</v>
      </c>
      <c r="B100" s="91" t="s">
        <v>61</v>
      </c>
      <c r="C100" s="140"/>
      <c r="D100" s="92"/>
      <c r="E100" s="95"/>
      <c r="F100" s="95"/>
      <c r="G100" s="95"/>
      <c r="H100" s="287"/>
      <c r="I100" s="361"/>
      <c r="J100" s="112"/>
      <c r="K100" s="113"/>
    </row>
    <row r="101" spans="1:11" ht="39.75" customHeight="1">
      <c r="A101" s="29" t="s">
        <v>9</v>
      </c>
      <c r="B101" s="141" t="s">
        <v>62</v>
      </c>
      <c r="C101" s="140" t="s">
        <v>63</v>
      </c>
      <c r="D101" s="92">
        <v>21</v>
      </c>
      <c r="E101" s="95">
        <v>24.57</v>
      </c>
      <c r="F101" s="95">
        <v>24.6</v>
      </c>
      <c r="G101" s="126" t="s">
        <v>9</v>
      </c>
      <c r="H101" s="287">
        <v>25.93</v>
      </c>
      <c r="I101" s="357">
        <f>F101/D101*100</f>
        <v>117.14285714285715</v>
      </c>
      <c r="J101" s="93">
        <f aca="true" t="shared" si="8" ref="J101:J120">F101/E101*100</f>
        <v>100.12210012210012</v>
      </c>
      <c r="K101" s="94">
        <f aca="true" t="shared" si="9" ref="K101:K120">H101/F101*100</f>
        <v>105.40650406504064</v>
      </c>
    </row>
    <row r="102" spans="1:11" ht="39.75" customHeight="1">
      <c r="A102" s="29" t="s">
        <v>9</v>
      </c>
      <c r="B102" s="141" t="s">
        <v>64</v>
      </c>
      <c r="C102" s="140" t="s">
        <v>11</v>
      </c>
      <c r="D102" s="92">
        <v>9800</v>
      </c>
      <c r="E102" s="92">
        <v>11500</v>
      </c>
      <c r="F102" s="92">
        <v>11500</v>
      </c>
      <c r="G102" s="126" t="s">
        <v>9</v>
      </c>
      <c r="H102" s="208">
        <v>12059</v>
      </c>
      <c r="I102" s="357">
        <f>F102/D102*100</f>
        <v>117.34693877551021</v>
      </c>
      <c r="J102" s="93">
        <f t="shared" si="8"/>
        <v>100</v>
      </c>
      <c r="K102" s="94">
        <f t="shared" si="9"/>
        <v>104.86086956521739</v>
      </c>
    </row>
    <row r="103" spans="1:11" ht="39.75" customHeight="1">
      <c r="A103" s="29" t="s">
        <v>9</v>
      </c>
      <c r="B103" s="141" t="s">
        <v>65</v>
      </c>
      <c r="C103" s="140" t="s">
        <v>11</v>
      </c>
      <c r="D103" s="92">
        <v>32</v>
      </c>
      <c r="E103" s="95">
        <v>37.5</v>
      </c>
      <c r="F103" s="95">
        <v>37.5</v>
      </c>
      <c r="G103" s="126" t="s">
        <v>9</v>
      </c>
      <c r="H103" s="287">
        <v>39.92</v>
      </c>
      <c r="I103" s="357">
        <f>F103/D103*100</f>
        <v>117.1875</v>
      </c>
      <c r="J103" s="93">
        <f t="shared" si="8"/>
        <v>100</v>
      </c>
      <c r="K103" s="94">
        <f t="shared" si="9"/>
        <v>106.45333333333333</v>
      </c>
    </row>
    <row r="104" spans="1:11" ht="39.75" customHeight="1">
      <c r="A104" s="29" t="s">
        <v>9</v>
      </c>
      <c r="B104" s="141" t="s">
        <v>66</v>
      </c>
      <c r="C104" s="140" t="s">
        <v>67</v>
      </c>
      <c r="D104" s="92">
        <v>800</v>
      </c>
      <c r="E104" s="92">
        <v>936</v>
      </c>
      <c r="F104" s="92">
        <v>936</v>
      </c>
      <c r="G104" s="126" t="s">
        <v>9</v>
      </c>
      <c r="H104" s="208">
        <v>1000</v>
      </c>
      <c r="I104" s="357">
        <f>F104/D104*100</f>
        <v>117</v>
      </c>
      <c r="J104" s="93">
        <f t="shared" si="8"/>
        <v>100</v>
      </c>
      <c r="K104" s="94">
        <f t="shared" si="9"/>
        <v>106.83760683760684</v>
      </c>
    </row>
    <row r="105" spans="1:11" ht="39.75" customHeight="1">
      <c r="A105" s="142" t="s">
        <v>9</v>
      </c>
      <c r="B105" s="143" t="s">
        <v>68</v>
      </c>
      <c r="C105" s="144" t="s">
        <v>69</v>
      </c>
      <c r="D105" s="145">
        <v>18636</v>
      </c>
      <c r="E105" s="145">
        <v>19600</v>
      </c>
      <c r="F105" s="145">
        <v>19600</v>
      </c>
      <c r="G105" s="295" t="s">
        <v>9</v>
      </c>
      <c r="H105" s="373">
        <v>20150</v>
      </c>
      <c r="I105" s="366">
        <f>F105/D105*100</f>
        <v>105.17278385919727</v>
      </c>
      <c r="J105" s="206">
        <f t="shared" si="8"/>
        <v>100</v>
      </c>
      <c r="K105" s="207">
        <f t="shared" si="9"/>
        <v>102.8061224489796</v>
      </c>
    </row>
    <row r="106" spans="1:11" ht="18" hidden="1">
      <c r="A106" s="46"/>
      <c r="B106" s="47"/>
      <c r="C106" s="48"/>
      <c r="D106" s="49"/>
      <c r="E106" s="50"/>
      <c r="F106" s="50"/>
      <c r="G106" s="50"/>
      <c r="H106" s="50"/>
      <c r="J106" s="202" t="e">
        <f t="shared" si="8"/>
        <v>#DIV/0!</v>
      </c>
      <c r="K106" s="203" t="e">
        <f t="shared" si="9"/>
        <v>#DIV/0!</v>
      </c>
    </row>
    <row r="107" spans="1:11" ht="18" hidden="1">
      <c r="A107" s="51" t="s">
        <v>70</v>
      </c>
      <c r="B107" s="52" t="s">
        <v>71</v>
      </c>
      <c r="C107" s="53"/>
      <c r="D107" s="54"/>
      <c r="E107" s="54"/>
      <c r="F107" s="54"/>
      <c r="G107" s="54"/>
      <c r="H107" s="55"/>
      <c r="J107" s="44" t="e">
        <f t="shared" si="8"/>
        <v>#DIV/0!</v>
      </c>
      <c r="K107" s="45" t="e">
        <f t="shared" si="9"/>
        <v>#DIV/0!</v>
      </c>
    </row>
    <row r="108" spans="1:11" ht="18" hidden="1">
      <c r="A108" s="57" t="s">
        <v>3</v>
      </c>
      <c r="B108" s="58" t="s">
        <v>72</v>
      </c>
      <c r="C108" s="59"/>
      <c r="D108" s="56"/>
      <c r="E108" s="56"/>
      <c r="F108" s="56"/>
      <c r="G108" s="56"/>
      <c r="H108" s="60"/>
      <c r="I108" s="834" t="s">
        <v>171</v>
      </c>
      <c r="J108" s="44" t="e">
        <f t="shared" si="8"/>
        <v>#DIV/0!</v>
      </c>
      <c r="K108" s="45" t="e">
        <f t="shared" si="9"/>
        <v>#DIV/0!</v>
      </c>
    </row>
    <row r="109" spans="1:11" ht="18" hidden="1">
      <c r="A109" s="57">
        <v>1</v>
      </c>
      <c r="B109" s="58" t="s">
        <v>73</v>
      </c>
      <c r="C109" s="59"/>
      <c r="D109" s="60"/>
      <c r="E109" s="60"/>
      <c r="F109" s="60"/>
      <c r="G109" s="60"/>
      <c r="H109" s="61"/>
      <c r="I109" s="834"/>
      <c r="J109" s="44" t="e">
        <f t="shared" si="8"/>
        <v>#DIV/0!</v>
      </c>
      <c r="K109" s="45" t="e">
        <f t="shared" si="9"/>
        <v>#DIV/0!</v>
      </c>
    </row>
    <row r="110" spans="1:11" ht="18" hidden="1">
      <c r="A110" s="20" t="s">
        <v>9</v>
      </c>
      <c r="B110" s="62" t="s">
        <v>74</v>
      </c>
      <c r="C110" s="63" t="s">
        <v>75</v>
      </c>
      <c r="D110" s="60">
        <v>36</v>
      </c>
      <c r="E110" s="60">
        <v>39.6</v>
      </c>
      <c r="F110" s="60"/>
      <c r="G110" s="60"/>
      <c r="H110" s="60"/>
      <c r="I110" s="834"/>
      <c r="J110" s="44">
        <f t="shared" si="8"/>
        <v>0</v>
      </c>
      <c r="K110" s="45" t="e">
        <f t="shared" si="9"/>
        <v>#DIV/0!</v>
      </c>
    </row>
    <row r="111" spans="1:11" ht="18" hidden="1">
      <c r="A111" s="20" t="s">
        <v>9</v>
      </c>
      <c r="B111" s="62" t="s">
        <v>76</v>
      </c>
      <c r="C111" s="63" t="s">
        <v>77</v>
      </c>
      <c r="D111" s="60">
        <v>1778</v>
      </c>
      <c r="E111" s="64">
        <v>1956</v>
      </c>
      <c r="F111" s="64"/>
      <c r="G111" s="64"/>
      <c r="H111" s="64"/>
      <c r="I111" s="834"/>
      <c r="J111" s="44">
        <f t="shared" si="8"/>
        <v>0</v>
      </c>
      <c r="K111" s="45" t="e">
        <f t="shared" si="9"/>
        <v>#DIV/0!</v>
      </c>
    </row>
    <row r="112" spans="1:11" ht="18" hidden="1">
      <c r="A112" s="57">
        <v>2</v>
      </c>
      <c r="B112" s="58" t="s">
        <v>78</v>
      </c>
      <c r="C112" s="59"/>
      <c r="D112" s="56"/>
      <c r="E112" s="56"/>
      <c r="F112" s="56"/>
      <c r="G112" s="56"/>
      <c r="H112" s="56"/>
      <c r="I112" s="834"/>
      <c r="J112" s="44" t="e">
        <f t="shared" si="8"/>
        <v>#DIV/0!</v>
      </c>
      <c r="K112" s="45" t="e">
        <f t="shared" si="9"/>
        <v>#DIV/0!</v>
      </c>
    </row>
    <row r="113" spans="1:11" ht="18" hidden="1">
      <c r="A113" s="20" t="s">
        <v>9</v>
      </c>
      <c r="B113" s="62" t="s">
        <v>74</v>
      </c>
      <c r="C113" s="63" t="s">
        <v>79</v>
      </c>
      <c r="D113" s="60">
        <v>39</v>
      </c>
      <c r="E113" s="60">
        <v>42.9</v>
      </c>
      <c r="F113" s="60"/>
      <c r="G113" s="60"/>
      <c r="H113" s="60"/>
      <c r="I113" s="834"/>
      <c r="J113" s="44">
        <f t="shared" si="8"/>
        <v>0</v>
      </c>
      <c r="K113" s="45" t="e">
        <f t="shared" si="9"/>
        <v>#DIV/0!</v>
      </c>
    </row>
    <row r="114" spans="1:11" ht="18" hidden="1">
      <c r="A114" s="20" t="s">
        <v>9</v>
      </c>
      <c r="B114" s="62" t="s">
        <v>76</v>
      </c>
      <c r="C114" s="63" t="s">
        <v>80</v>
      </c>
      <c r="D114" s="60">
        <v>4700</v>
      </c>
      <c r="E114" s="64">
        <v>5170</v>
      </c>
      <c r="F114" s="64"/>
      <c r="G114" s="64"/>
      <c r="H114" s="64"/>
      <c r="I114" s="834"/>
      <c r="J114" s="44">
        <f t="shared" si="8"/>
        <v>0</v>
      </c>
      <c r="K114" s="45" t="e">
        <f t="shared" si="9"/>
        <v>#DIV/0!</v>
      </c>
    </row>
    <row r="115" spans="1:11" ht="18" hidden="1">
      <c r="A115" s="20"/>
      <c r="B115" s="65"/>
      <c r="C115" s="20"/>
      <c r="D115" s="60"/>
      <c r="E115" s="64"/>
      <c r="F115" s="64"/>
      <c r="G115" s="64"/>
      <c r="H115" s="64"/>
      <c r="I115" s="834"/>
      <c r="J115" s="44" t="e">
        <f t="shared" si="8"/>
        <v>#DIV/0!</v>
      </c>
      <c r="K115" s="45" t="e">
        <f t="shared" si="9"/>
        <v>#DIV/0!</v>
      </c>
    </row>
    <row r="116" spans="1:11" ht="47.25" customHeight="1" hidden="1" outlineLevel="1">
      <c r="A116" s="66"/>
      <c r="B116" s="841" t="s">
        <v>277</v>
      </c>
      <c r="C116" s="842"/>
      <c r="D116" s="842"/>
      <c r="E116" s="842"/>
      <c r="F116" s="842"/>
      <c r="G116" s="842"/>
      <c r="H116" s="842"/>
      <c r="J116" s="44" t="e">
        <f t="shared" si="8"/>
        <v>#DIV/0!</v>
      </c>
      <c r="K116" s="45" t="e">
        <f t="shared" si="9"/>
        <v>#DIV/0!</v>
      </c>
    </row>
    <row r="117" spans="1:11" ht="18" hidden="1" collapsed="1">
      <c r="A117" s="16"/>
      <c r="B117" s="16"/>
      <c r="C117" s="16"/>
      <c r="D117" s="16"/>
      <c r="E117" s="16"/>
      <c r="F117" s="16"/>
      <c r="G117" s="16"/>
      <c r="H117" s="16"/>
      <c r="J117" s="44" t="e">
        <f t="shared" si="8"/>
        <v>#DIV/0!</v>
      </c>
      <c r="K117" s="45" t="e">
        <f t="shared" si="9"/>
        <v>#DIV/0!</v>
      </c>
    </row>
    <row r="118" spans="1:11" ht="18" hidden="1">
      <c r="A118" s="67" t="s">
        <v>157</v>
      </c>
      <c r="B118" s="68"/>
      <c r="C118" s="67"/>
      <c r="D118" s="67"/>
      <c r="E118" s="67"/>
      <c r="F118" s="11"/>
      <c r="G118" s="11"/>
      <c r="H118" s="11"/>
      <c r="J118" s="44" t="e">
        <f t="shared" si="8"/>
        <v>#DIV/0!</v>
      </c>
      <c r="K118" s="45" t="e">
        <f t="shared" si="9"/>
        <v>#DIV/0!</v>
      </c>
    </row>
    <row r="119" spans="1:11" ht="18" hidden="1">
      <c r="A119" s="67" t="s">
        <v>165</v>
      </c>
      <c r="B119" s="68"/>
      <c r="C119" s="67"/>
      <c r="D119" s="67"/>
      <c r="E119" s="67"/>
      <c r="F119" s="11"/>
      <c r="G119" s="11"/>
      <c r="H119" s="11"/>
      <c r="J119" s="44" t="e">
        <f t="shared" si="8"/>
        <v>#DIV/0!</v>
      </c>
      <c r="K119" s="45" t="e">
        <f t="shared" si="9"/>
        <v>#DIV/0!</v>
      </c>
    </row>
    <row r="120" spans="10:11" ht="18" hidden="1">
      <c r="J120" s="44" t="e">
        <f t="shared" si="8"/>
        <v>#DIV/0!</v>
      </c>
      <c r="K120" s="45" t="e">
        <f t="shared" si="9"/>
        <v>#DIV/0!</v>
      </c>
    </row>
  </sheetData>
  <sheetProtection/>
  <mergeCells count="12">
    <mergeCell ref="B116:H116"/>
    <mergeCell ref="A7:A8"/>
    <mergeCell ref="B7:B8"/>
    <mergeCell ref="C7:C8"/>
    <mergeCell ref="A3:K3"/>
    <mergeCell ref="I108:I115"/>
    <mergeCell ref="E7:F7"/>
    <mergeCell ref="D7:D8"/>
    <mergeCell ref="I7:K7"/>
    <mergeCell ref="A2:K2"/>
    <mergeCell ref="A4:K4"/>
    <mergeCell ref="G7:H7"/>
  </mergeCells>
  <printOptions/>
  <pageMargins left="0.5905511811023623" right="0.35433070866141736" top="0.4" bottom="0.3937007874015748" header="0.31496062992125984" footer="0.31496062992125984"/>
  <pageSetup horizontalDpi="600" verticalDpi="600" orientation="portrait" paperSize="9" scale="60" r:id="rId1"/>
  <colBreaks count="1" manualBreakCount="1">
    <brk id="8" max="104" man="1"/>
  </colBreaks>
</worksheet>
</file>

<file path=xl/worksheets/sheet3.xml><?xml version="1.0" encoding="utf-8"?>
<worksheet xmlns="http://schemas.openxmlformats.org/spreadsheetml/2006/main" xmlns:r="http://schemas.openxmlformats.org/officeDocument/2006/relationships">
  <dimension ref="A1:V90"/>
  <sheetViews>
    <sheetView view="pageBreakPreview" zoomScale="64" zoomScaleNormal="66" zoomScaleSheetLayoutView="64" zoomScalePageLayoutView="0" workbookViewId="0" topLeftCell="A1">
      <pane ySplit="6" topLeftCell="A82" activePane="bottomLeft" state="frozen"/>
      <selection pane="topLeft" activeCell="A1" sqref="A1"/>
      <selection pane="bottomLeft" activeCell="A12" sqref="A12:C14"/>
    </sheetView>
  </sheetViews>
  <sheetFormatPr defaultColWidth="8.796875" defaultRowHeight="18.75"/>
  <cols>
    <col min="1" max="1" width="5.796875" style="261" customWidth="1"/>
    <col min="2" max="2" width="44" style="261" customWidth="1"/>
    <col min="3" max="3" width="8" style="261" customWidth="1"/>
    <col min="4" max="4" width="12.296875" style="261" customWidth="1"/>
    <col min="5" max="5" width="10.296875" style="261" customWidth="1"/>
    <col min="6" max="16" width="8.796875" style="261" customWidth="1"/>
    <col min="17" max="17" width="7.8984375" style="261" customWidth="1"/>
    <col min="18" max="18" width="8.796875" style="261" customWidth="1"/>
    <col min="19" max="16384" width="8.796875" style="261" customWidth="1"/>
  </cols>
  <sheetData>
    <row r="1" spans="1:18" ht="24.75" customHeight="1">
      <c r="A1" s="845" t="s">
        <v>112</v>
      </c>
      <c r="B1" s="845"/>
      <c r="C1" s="845"/>
      <c r="D1" s="845"/>
      <c r="E1" s="845"/>
      <c r="F1" s="845"/>
      <c r="G1" s="845"/>
      <c r="H1" s="845"/>
      <c r="I1" s="845"/>
      <c r="J1" s="845"/>
      <c r="K1" s="845"/>
      <c r="L1" s="845"/>
      <c r="M1" s="845"/>
      <c r="N1" s="845"/>
      <c r="O1" s="845"/>
      <c r="P1" s="845"/>
      <c r="Q1" s="845"/>
      <c r="R1" s="217"/>
    </row>
    <row r="2" spans="1:20" ht="24.75" customHeight="1">
      <c r="A2" s="844" t="s">
        <v>292</v>
      </c>
      <c r="B2" s="844"/>
      <c r="C2" s="844"/>
      <c r="D2" s="844"/>
      <c r="E2" s="844"/>
      <c r="F2" s="844"/>
      <c r="G2" s="844"/>
      <c r="H2" s="844"/>
      <c r="I2" s="844"/>
      <c r="J2" s="844"/>
      <c r="K2" s="844"/>
      <c r="L2" s="844"/>
      <c r="M2" s="844"/>
      <c r="N2" s="844"/>
      <c r="O2" s="844"/>
      <c r="P2" s="844"/>
      <c r="Q2" s="844"/>
      <c r="R2" s="216"/>
      <c r="S2" s="262"/>
      <c r="T2" s="261">
        <f>N70/4</f>
        <v>137.75</v>
      </c>
    </row>
    <row r="3" spans="1:19" ht="24.75" customHeight="1">
      <c r="A3" s="846" t="s">
        <v>309</v>
      </c>
      <c r="B3" s="846"/>
      <c r="C3" s="846"/>
      <c r="D3" s="846"/>
      <c r="E3" s="846"/>
      <c r="F3" s="846"/>
      <c r="G3" s="846"/>
      <c r="H3" s="846"/>
      <c r="I3" s="846"/>
      <c r="J3" s="846"/>
      <c r="K3" s="846"/>
      <c r="L3" s="846"/>
      <c r="M3" s="846"/>
      <c r="N3" s="846"/>
      <c r="O3" s="846"/>
      <c r="P3" s="846"/>
      <c r="Q3" s="846"/>
      <c r="R3" s="209"/>
      <c r="S3" s="262">
        <f>E47-S47</f>
        <v>1880.3</v>
      </c>
    </row>
    <row r="4" spans="1:19" s="264" customFormat="1" ht="24.75" customHeight="1">
      <c r="A4" s="209"/>
      <c r="B4" s="209"/>
      <c r="C4" s="209"/>
      <c r="D4" s="209"/>
      <c r="E4" s="209"/>
      <c r="F4" s="209"/>
      <c r="G4" s="209"/>
      <c r="H4" s="209"/>
      <c r="I4" s="209"/>
      <c r="J4" s="209"/>
      <c r="K4" s="209"/>
      <c r="L4" s="209"/>
      <c r="M4" s="209"/>
      <c r="N4" s="209"/>
      <c r="O4" s="209"/>
      <c r="P4" s="209"/>
      <c r="Q4" s="209"/>
      <c r="R4" s="209"/>
      <c r="S4" s="263"/>
    </row>
    <row r="5" spans="1:20" s="266" customFormat="1" ht="39.75" customHeight="1">
      <c r="A5" s="847" t="s">
        <v>0</v>
      </c>
      <c r="B5" s="849" t="s">
        <v>1</v>
      </c>
      <c r="C5" s="849" t="s">
        <v>82</v>
      </c>
      <c r="D5" s="849" t="s">
        <v>288</v>
      </c>
      <c r="E5" s="849"/>
      <c r="F5" s="849" t="s">
        <v>83</v>
      </c>
      <c r="G5" s="849" t="s">
        <v>84</v>
      </c>
      <c r="H5" s="849" t="s">
        <v>85</v>
      </c>
      <c r="I5" s="849" t="s">
        <v>86</v>
      </c>
      <c r="J5" s="849" t="s">
        <v>87</v>
      </c>
      <c r="K5" s="849" t="s">
        <v>88</v>
      </c>
      <c r="L5" s="849" t="s">
        <v>89</v>
      </c>
      <c r="M5" s="849" t="s">
        <v>289</v>
      </c>
      <c r="N5" s="849" t="s">
        <v>90</v>
      </c>
      <c r="O5" s="849" t="s">
        <v>91</v>
      </c>
      <c r="P5" s="849" t="s">
        <v>92</v>
      </c>
      <c r="Q5" s="851" t="s">
        <v>93</v>
      </c>
      <c r="R5" s="218"/>
      <c r="S5" s="265"/>
      <c r="T5" s="265"/>
    </row>
    <row r="6" spans="1:20" s="266" customFormat="1" ht="137.25" customHeight="1">
      <c r="A6" s="848"/>
      <c r="B6" s="850"/>
      <c r="C6" s="850"/>
      <c r="D6" s="375" t="s">
        <v>325</v>
      </c>
      <c r="E6" s="376" t="s">
        <v>290</v>
      </c>
      <c r="F6" s="850"/>
      <c r="G6" s="850"/>
      <c r="H6" s="850"/>
      <c r="I6" s="850"/>
      <c r="J6" s="850"/>
      <c r="K6" s="850"/>
      <c r="L6" s="850"/>
      <c r="M6" s="850"/>
      <c r="N6" s="850"/>
      <c r="O6" s="850"/>
      <c r="P6" s="850"/>
      <c r="Q6" s="852"/>
      <c r="R6" s="267"/>
      <c r="S6" s="265"/>
      <c r="T6" s="265"/>
    </row>
    <row r="7" spans="1:18" s="268" customFormat="1" ht="39.75" customHeight="1">
      <c r="A7" s="377" t="s">
        <v>30</v>
      </c>
      <c r="B7" s="378" t="s">
        <v>94</v>
      </c>
      <c r="C7" s="378"/>
      <c r="D7" s="375"/>
      <c r="E7" s="376"/>
      <c r="F7" s="379"/>
      <c r="G7" s="379"/>
      <c r="H7" s="379"/>
      <c r="I7" s="379"/>
      <c r="J7" s="379"/>
      <c r="K7" s="379"/>
      <c r="L7" s="379"/>
      <c r="M7" s="379"/>
      <c r="N7" s="379"/>
      <c r="O7" s="379"/>
      <c r="P7" s="379"/>
      <c r="Q7" s="380"/>
      <c r="R7" s="219"/>
    </row>
    <row r="8" spans="1:19" s="268" customFormat="1" ht="39.75" customHeight="1">
      <c r="A8" s="377"/>
      <c r="B8" s="378" t="s">
        <v>96</v>
      </c>
      <c r="C8" s="381" t="s">
        <v>97</v>
      </c>
      <c r="D8" s="382">
        <v>12314</v>
      </c>
      <c r="E8" s="382">
        <f aca="true" t="shared" si="0" ref="E8:Q8">E11+E36+E39+E42+E57</f>
        <v>12379.560000000001</v>
      </c>
      <c r="F8" s="383">
        <f t="shared" si="0"/>
        <v>1908.8000000000002</v>
      </c>
      <c r="G8" s="383">
        <f t="shared" si="0"/>
        <v>1772.5</v>
      </c>
      <c r="H8" s="383">
        <f t="shared" si="0"/>
        <v>2321.4</v>
      </c>
      <c r="I8" s="383">
        <f t="shared" si="0"/>
        <v>603.4</v>
      </c>
      <c r="J8" s="383">
        <f t="shared" si="0"/>
        <v>788.97</v>
      </c>
      <c r="K8" s="383">
        <f t="shared" si="0"/>
        <v>578.5</v>
      </c>
      <c r="L8" s="383">
        <f t="shared" si="0"/>
        <v>543.5999999999999</v>
      </c>
      <c r="M8" s="383">
        <f t="shared" si="0"/>
        <v>430.29</v>
      </c>
      <c r="N8" s="383">
        <f t="shared" si="0"/>
        <v>1005.7</v>
      </c>
      <c r="O8" s="383">
        <f t="shared" si="0"/>
        <v>606.8</v>
      </c>
      <c r="P8" s="383">
        <f t="shared" si="0"/>
        <v>1001.1</v>
      </c>
      <c r="Q8" s="384">
        <f t="shared" si="0"/>
        <v>818.7</v>
      </c>
      <c r="R8" s="220">
        <f>SUM(F8:Q8)</f>
        <v>12379.760000000002</v>
      </c>
      <c r="S8" s="269"/>
    </row>
    <row r="9" spans="1:19" s="268" customFormat="1" ht="39.75" customHeight="1">
      <c r="A9" s="377"/>
      <c r="B9" s="378" t="s">
        <v>10</v>
      </c>
      <c r="C9" s="381" t="s">
        <v>32</v>
      </c>
      <c r="D9" s="385">
        <f>D14+D29</f>
        <v>12773</v>
      </c>
      <c r="E9" s="385">
        <f aca="true" t="shared" si="1" ref="E9:Q9">E14+E29</f>
        <v>12792.694</v>
      </c>
      <c r="F9" s="385">
        <f t="shared" si="1"/>
        <v>1249.6699999999998</v>
      </c>
      <c r="G9" s="385">
        <f t="shared" si="1"/>
        <v>1024.658</v>
      </c>
      <c r="H9" s="385">
        <f t="shared" si="1"/>
        <v>952.7490000000001</v>
      </c>
      <c r="I9" s="385">
        <f t="shared" si="1"/>
        <v>517.639</v>
      </c>
      <c r="J9" s="385">
        <f t="shared" si="1"/>
        <v>1375.1509999999998</v>
      </c>
      <c r="K9" s="385">
        <f t="shared" si="1"/>
        <v>883.38</v>
      </c>
      <c r="L9" s="385">
        <f t="shared" si="1"/>
        <v>437.622</v>
      </c>
      <c r="M9" s="385">
        <f t="shared" si="1"/>
        <v>682.26</v>
      </c>
      <c r="N9" s="385">
        <f t="shared" si="1"/>
        <v>1607.2120000000002</v>
      </c>
      <c r="O9" s="385">
        <f t="shared" si="1"/>
        <v>1088.571</v>
      </c>
      <c r="P9" s="385">
        <f t="shared" si="1"/>
        <v>1909.94</v>
      </c>
      <c r="Q9" s="386">
        <f t="shared" si="1"/>
        <v>1065.25</v>
      </c>
      <c r="R9" s="220">
        <f aca="true" t="shared" si="2" ref="R9:R74">SUM(F9:Q9)</f>
        <v>12794.102</v>
      </c>
      <c r="S9" s="269"/>
    </row>
    <row r="10" spans="1:19" s="268" customFormat="1" ht="39.75" customHeight="1">
      <c r="A10" s="387"/>
      <c r="B10" s="388" t="s">
        <v>33</v>
      </c>
      <c r="C10" s="389" t="s">
        <v>32</v>
      </c>
      <c r="D10" s="390">
        <f>D14</f>
        <v>12143</v>
      </c>
      <c r="E10" s="390">
        <f aca="true" t="shared" si="3" ref="E10:Q10">E14</f>
        <v>12143</v>
      </c>
      <c r="F10" s="390">
        <f t="shared" si="3"/>
        <v>1233.56</v>
      </c>
      <c r="G10" s="390">
        <f t="shared" si="3"/>
        <v>1005.572</v>
      </c>
      <c r="H10" s="390">
        <f t="shared" si="3"/>
        <v>937.8750000000001</v>
      </c>
      <c r="I10" s="390">
        <f t="shared" si="3"/>
        <v>444.69800000000004</v>
      </c>
      <c r="J10" s="390">
        <f t="shared" si="3"/>
        <v>1210.8029999999999</v>
      </c>
      <c r="K10" s="390">
        <f t="shared" si="3"/>
        <v>864.1</v>
      </c>
      <c r="L10" s="390">
        <f t="shared" si="3"/>
        <v>431.322</v>
      </c>
      <c r="M10" s="390">
        <f t="shared" si="3"/>
        <v>674.4</v>
      </c>
      <c r="N10" s="390">
        <f t="shared" si="3"/>
        <v>1516.7020000000002</v>
      </c>
      <c r="O10" s="390">
        <f t="shared" si="3"/>
        <v>890.3309999999999</v>
      </c>
      <c r="P10" s="390">
        <f t="shared" si="3"/>
        <v>1890.19</v>
      </c>
      <c r="Q10" s="391">
        <f t="shared" si="3"/>
        <v>1045.5</v>
      </c>
      <c r="R10" s="220">
        <f t="shared" si="2"/>
        <v>12145.053</v>
      </c>
      <c r="S10" s="269"/>
    </row>
    <row r="11" spans="1:19" s="268" customFormat="1" ht="39.75" customHeight="1">
      <c r="A11" s="392">
        <v>1</v>
      </c>
      <c r="B11" s="378" t="s">
        <v>34</v>
      </c>
      <c r="C11" s="381" t="s">
        <v>97</v>
      </c>
      <c r="D11" s="385">
        <f>D12+D27</f>
        <v>3580</v>
      </c>
      <c r="E11" s="385">
        <f aca="true" t="shared" si="4" ref="E11:Q11">E12+E27</f>
        <v>3579.9700000000003</v>
      </c>
      <c r="F11" s="393">
        <f t="shared" si="4"/>
        <v>410.4</v>
      </c>
      <c r="G11" s="393">
        <f t="shared" si="4"/>
        <v>278</v>
      </c>
      <c r="H11" s="393">
        <f t="shared" si="4"/>
        <v>373.7</v>
      </c>
      <c r="I11" s="393">
        <f t="shared" si="4"/>
        <v>191.1</v>
      </c>
      <c r="J11" s="393">
        <f t="shared" si="4"/>
        <v>398.67</v>
      </c>
      <c r="K11" s="393">
        <f t="shared" si="4"/>
        <v>243.5</v>
      </c>
      <c r="L11" s="393">
        <f t="shared" si="4"/>
        <v>109</v>
      </c>
      <c r="M11" s="393">
        <f t="shared" si="4"/>
        <v>170.6</v>
      </c>
      <c r="N11" s="393">
        <f t="shared" si="4"/>
        <v>400</v>
      </c>
      <c r="O11" s="393">
        <f t="shared" si="4"/>
        <v>275</v>
      </c>
      <c r="P11" s="393">
        <f t="shared" si="4"/>
        <v>470</v>
      </c>
      <c r="Q11" s="394">
        <f t="shared" si="4"/>
        <v>260</v>
      </c>
      <c r="R11" s="220">
        <f t="shared" si="2"/>
        <v>3579.97</v>
      </c>
      <c r="S11" s="269"/>
    </row>
    <row r="12" spans="1:19" s="268" customFormat="1" ht="39.75" customHeight="1">
      <c r="A12" s="377" t="s">
        <v>98</v>
      </c>
      <c r="B12" s="378" t="s">
        <v>36</v>
      </c>
      <c r="C12" s="381" t="s">
        <v>97</v>
      </c>
      <c r="D12" s="395">
        <f>D15+D18</f>
        <v>3430</v>
      </c>
      <c r="E12" s="395">
        <f aca="true" t="shared" si="5" ref="E12:Q12">E15+E18</f>
        <v>3429.9700000000003</v>
      </c>
      <c r="F12" s="396">
        <f t="shared" si="5"/>
        <v>407</v>
      </c>
      <c r="G12" s="396">
        <f t="shared" si="5"/>
        <v>274</v>
      </c>
      <c r="H12" s="396">
        <f t="shared" si="5"/>
        <v>370.5</v>
      </c>
      <c r="I12" s="396">
        <f t="shared" si="5"/>
        <v>175.4</v>
      </c>
      <c r="J12" s="396">
        <f t="shared" si="5"/>
        <v>362.47</v>
      </c>
      <c r="K12" s="396">
        <f t="shared" si="5"/>
        <v>239</v>
      </c>
      <c r="L12" s="396">
        <f t="shared" si="5"/>
        <v>107</v>
      </c>
      <c r="M12" s="396">
        <f t="shared" si="5"/>
        <v>168.6</v>
      </c>
      <c r="N12" s="396">
        <f t="shared" si="5"/>
        <v>379</v>
      </c>
      <c r="O12" s="396">
        <f t="shared" si="5"/>
        <v>227</v>
      </c>
      <c r="P12" s="396">
        <f t="shared" si="5"/>
        <v>465</v>
      </c>
      <c r="Q12" s="397">
        <f t="shared" si="5"/>
        <v>255</v>
      </c>
      <c r="R12" s="220">
        <f t="shared" si="2"/>
        <v>3429.9700000000003</v>
      </c>
      <c r="S12" s="269"/>
    </row>
    <row r="13" spans="1:19" s="268" customFormat="1" ht="39.75" customHeight="1">
      <c r="A13" s="387"/>
      <c r="B13" s="388" t="s">
        <v>37</v>
      </c>
      <c r="C13" s="389" t="s">
        <v>38</v>
      </c>
      <c r="D13" s="398">
        <v>35.40233236151603</v>
      </c>
      <c r="E13" s="398">
        <v>35.4</v>
      </c>
      <c r="F13" s="398">
        <f>F14*10/F12</f>
        <v>30.308599508599507</v>
      </c>
      <c r="G13" s="398">
        <f aca="true" t="shared" si="6" ref="G13:Q13">G14*10/G12</f>
        <v>36.699708029197076</v>
      </c>
      <c r="H13" s="398">
        <f t="shared" si="6"/>
        <v>25.31376518218624</v>
      </c>
      <c r="I13" s="398">
        <f t="shared" si="6"/>
        <v>25.353363740022807</v>
      </c>
      <c r="J13" s="398">
        <f t="shared" si="6"/>
        <v>33.40422655668055</v>
      </c>
      <c r="K13" s="398">
        <f t="shared" si="6"/>
        <v>36.15481171548117</v>
      </c>
      <c r="L13" s="398">
        <f t="shared" si="6"/>
        <v>40.310467289719625</v>
      </c>
      <c r="M13" s="398">
        <f t="shared" si="6"/>
        <v>40</v>
      </c>
      <c r="N13" s="398">
        <f t="shared" si="6"/>
        <v>40.01852242744064</v>
      </c>
      <c r="O13" s="398">
        <f t="shared" si="6"/>
        <v>39.22162995594714</v>
      </c>
      <c r="P13" s="398">
        <f t="shared" si="6"/>
        <v>40.64924731182796</v>
      </c>
      <c r="Q13" s="399">
        <f t="shared" si="6"/>
        <v>41</v>
      </c>
      <c r="R13" s="220"/>
      <c r="S13" s="269"/>
    </row>
    <row r="14" spans="1:19" s="268" customFormat="1" ht="39.75" customHeight="1">
      <c r="A14" s="387"/>
      <c r="B14" s="388" t="s">
        <v>39</v>
      </c>
      <c r="C14" s="389" t="s">
        <v>11</v>
      </c>
      <c r="D14" s="400">
        <v>12143</v>
      </c>
      <c r="E14" s="400">
        <f>E17+E23+E26</f>
        <v>12143</v>
      </c>
      <c r="F14" s="401">
        <f aca="true" t="shared" si="7" ref="F14:Q14">F17+F23+F26</f>
        <v>1233.56</v>
      </c>
      <c r="G14" s="401">
        <f t="shared" si="7"/>
        <v>1005.572</v>
      </c>
      <c r="H14" s="401">
        <f t="shared" si="7"/>
        <v>937.8750000000001</v>
      </c>
      <c r="I14" s="401">
        <f t="shared" si="7"/>
        <v>444.69800000000004</v>
      </c>
      <c r="J14" s="401">
        <f t="shared" si="7"/>
        <v>1210.8029999999999</v>
      </c>
      <c r="K14" s="401">
        <f t="shared" si="7"/>
        <v>864.1</v>
      </c>
      <c r="L14" s="401">
        <f t="shared" si="7"/>
        <v>431.322</v>
      </c>
      <c r="M14" s="401">
        <f t="shared" si="7"/>
        <v>674.4</v>
      </c>
      <c r="N14" s="401">
        <f t="shared" si="7"/>
        <v>1516.7020000000002</v>
      </c>
      <c r="O14" s="401">
        <f t="shared" si="7"/>
        <v>890.3309999999999</v>
      </c>
      <c r="P14" s="401">
        <f t="shared" si="7"/>
        <v>1890.19</v>
      </c>
      <c r="Q14" s="402">
        <f t="shared" si="7"/>
        <v>1045.5</v>
      </c>
      <c r="R14" s="220">
        <f t="shared" si="2"/>
        <v>12145.053</v>
      </c>
      <c r="S14" s="269"/>
    </row>
    <row r="15" spans="1:19" s="268" customFormat="1" ht="39.75" customHeight="1">
      <c r="A15" s="403" t="s">
        <v>35</v>
      </c>
      <c r="B15" s="404" t="s">
        <v>174</v>
      </c>
      <c r="C15" s="405" t="s">
        <v>97</v>
      </c>
      <c r="D15" s="406">
        <v>825</v>
      </c>
      <c r="E15" s="400">
        <f>SUM(F15:Q15)</f>
        <v>824.97</v>
      </c>
      <c r="F15" s="407">
        <f>93.5+1.5</f>
        <v>95</v>
      </c>
      <c r="G15" s="407">
        <f>104+2</f>
        <v>106</v>
      </c>
      <c r="H15" s="407">
        <f>64.5+2</f>
        <v>66.5</v>
      </c>
      <c r="I15" s="407">
        <f>30+4</f>
        <v>34</v>
      </c>
      <c r="J15" s="407">
        <f>122.97+2.5</f>
        <v>125.47</v>
      </c>
      <c r="K15" s="407">
        <v>95</v>
      </c>
      <c r="L15" s="407">
        <v>43</v>
      </c>
      <c r="M15" s="408"/>
      <c r="N15" s="407">
        <f>97+2</f>
        <v>99</v>
      </c>
      <c r="O15" s="407">
        <f>88+3</f>
        <v>91</v>
      </c>
      <c r="P15" s="407">
        <v>70</v>
      </c>
      <c r="Q15" s="409"/>
      <c r="R15" s="220">
        <f t="shared" si="2"/>
        <v>824.97</v>
      </c>
      <c r="S15" s="269"/>
    </row>
    <row r="16" spans="1:19" s="268" customFormat="1" ht="39.75" customHeight="1">
      <c r="A16" s="387"/>
      <c r="B16" s="388" t="s">
        <v>37</v>
      </c>
      <c r="C16" s="389" t="s">
        <v>38</v>
      </c>
      <c r="D16" s="408">
        <v>39.03030303030303</v>
      </c>
      <c r="E16" s="408">
        <v>39</v>
      </c>
      <c r="F16" s="408">
        <v>39.36</v>
      </c>
      <c r="G16" s="408">
        <v>39.42</v>
      </c>
      <c r="H16" s="408">
        <v>39.5</v>
      </c>
      <c r="I16" s="408">
        <v>39.27</v>
      </c>
      <c r="J16" s="408">
        <v>39</v>
      </c>
      <c r="K16" s="408">
        <v>39</v>
      </c>
      <c r="L16" s="408">
        <v>38.54</v>
      </c>
      <c r="M16" s="408"/>
      <c r="N16" s="408">
        <v>39.18</v>
      </c>
      <c r="O16" s="408">
        <v>38.41</v>
      </c>
      <c r="P16" s="408">
        <v>38.67</v>
      </c>
      <c r="Q16" s="409"/>
      <c r="R16" s="220">
        <f t="shared" si="2"/>
        <v>390.3500000000001</v>
      </c>
      <c r="S16" s="269"/>
    </row>
    <row r="17" spans="1:19" s="268" customFormat="1" ht="39.75" customHeight="1">
      <c r="A17" s="387"/>
      <c r="B17" s="388" t="s">
        <v>39</v>
      </c>
      <c r="C17" s="389" t="s">
        <v>11</v>
      </c>
      <c r="D17" s="406">
        <v>3220</v>
      </c>
      <c r="E17" s="400">
        <v>3220</v>
      </c>
      <c r="F17" s="401">
        <f>F16*F15/10</f>
        <v>373.91999999999996</v>
      </c>
      <c r="G17" s="401">
        <f aca="true" t="shared" si="8" ref="G17:Q17">G16*G15/10</f>
        <v>417.85200000000003</v>
      </c>
      <c r="H17" s="401">
        <f t="shared" si="8"/>
        <v>262.675</v>
      </c>
      <c r="I17" s="401">
        <f t="shared" si="8"/>
        <v>133.518</v>
      </c>
      <c r="J17" s="401">
        <f t="shared" si="8"/>
        <v>489.33299999999997</v>
      </c>
      <c r="K17" s="401">
        <f t="shared" si="8"/>
        <v>370.5</v>
      </c>
      <c r="L17" s="401">
        <f t="shared" si="8"/>
        <v>165.722</v>
      </c>
      <c r="M17" s="401">
        <f t="shared" si="8"/>
        <v>0</v>
      </c>
      <c r="N17" s="401">
        <f t="shared" si="8"/>
        <v>387.882</v>
      </c>
      <c r="O17" s="401">
        <f t="shared" si="8"/>
        <v>349.53099999999995</v>
      </c>
      <c r="P17" s="401">
        <f t="shared" si="8"/>
        <v>270.69</v>
      </c>
      <c r="Q17" s="402">
        <f t="shared" si="8"/>
        <v>0</v>
      </c>
      <c r="R17" s="220">
        <f t="shared" si="2"/>
        <v>3221.623</v>
      </c>
      <c r="S17" s="269"/>
    </row>
    <row r="18" spans="1:19" s="268" customFormat="1" ht="39.75" customHeight="1">
      <c r="A18" s="387" t="s">
        <v>43</v>
      </c>
      <c r="B18" s="388" t="s">
        <v>40</v>
      </c>
      <c r="C18" s="389" t="s">
        <v>97</v>
      </c>
      <c r="D18" s="406">
        <f>D21+D24</f>
        <v>2605</v>
      </c>
      <c r="E18" s="406">
        <f aca="true" t="shared" si="9" ref="E18:Q18">E21+E24</f>
        <v>2605</v>
      </c>
      <c r="F18" s="406">
        <f t="shared" si="9"/>
        <v>312</v>
      </c>
      <c r="G18" s="406">
        <f t="shared" si="9"/>
        <v>168</v>
      </c>
      <c r="H18" s="406">
        <f t="shared" si="9"/>
        <v>304</v>
      </c>
      <c r="I18" s="406">
        <f t="shared" si="9"/>
        <v>141.4</v>
      </c>
      <c r="J18" s="406">
        <f t="shared" si="9"/>
        <v>237</v>
      </c>
      <c r="K18" s="406">
        <f t="shared" si="9"/>
        <v>144</v>
      </c>
      <c r="L18" s="406">
        <f t="shared" si="9"/>
        <v>64</v>
      </c>
      <c r="M18" s="406">
        <f t="shared" si="9"/>
        <v>168.6</v>
      </c>
      <c r="N18" s="406">
        <f t="shared" si="9"/>
        <v>280</v>
      </c>
      <c r="O18" s="406">
        <f t="shared" si="9"/>
        <v>136</v>
      </c>
      <c r="P18" s="406">
        <f t="shared" si="9"/>
        <v>395</v>
      </c>
      <c r="Q18" s="410">
        <f t="shared" si="9"/>
        <v>255</v>
      </c>
      <c r="R18" s="220">
        <f t="shared" si="2"/>
        <v>2605</v>
      </c>
      <c r="S18" s="269"/>
    </row>
    <row r="19" spans="1:19" s="268" customFormat="1" ht="39.75" customHeight="1">
      <c r="A19" s="387"/>
      <c r="B19" s="388" t="s">
        <v>37</v>
      </c>
      <c r="C19" s="389" t="s">
        <v>38</v>
      </c>
      <c r="D19" s="411">
        <f>D20*10/D18</f>
        <v>34.25351247600768</v>
      </c>
      <c r="E19" s="411">
        <f aca="true" t="shared" si="10" ref="E19:Q19">E20*10/E18</f>
        <v>34.25335892514396</v>
      </c>
      <c r="F19" s="411">
        <f t="shared" si="10"/>
        <v>27.5525641025641</v>
      </c>
      <c r="G19" s="411">
        <f t="shared" si="10"/>
        <v>34.983333333333334</v>
      </c>
      <c r="H19" s="411">
        <f t="shared" si="10"/>
        <v>22.210526315789473</v>
      </c>
      <c r="I19" s="411">
        <f t="shared" si="10"/>
        <v>22.00707213578501</v>
      </c>
      <c r="J19" s="411">
        <f t="shared" si="10"/>
        <v>30.441772151898736</v>
      </c>
      <c r="K19" s="411">
        <f t="shared" si="10"/>
        <v>34.27777777777778</v>
      </c>
      <c r="L19" s="411">
        <f t="shared" si="10"/>
        <v>41.5</v>
      </c>
      <c r="M19" s="411">
        <f t="shared" si="10"/>
        <v>40</v>
      </c>
      <c r="N19" s="411">
        <f t="shared" si="10"/>
        <v>40.315000000000005</v>
      </c>
      <c r="O19" s="411">
        <f t="shared" si="10"/>
        <v>39.76470588235294</v>
      </c>
      <c r="P19" s="411">
        <f t="shared" si="10"/>
        <v>41</v>
      </c>
      <c r="Q19" s="412">
        <f t="shared" si="10"/>
        <v>41</v>
      </c>
      <c r="R19" s="220"/>
      <c r="S19" s="269"/>
    </row>
    <row r="20" spans="1:19" s="268" customFormat="1" ht="39.75" customHeight="1">
      <c r="A20" s="387"/>
      <c r="B20" s="388" t="s">
        <v>39</v>
      </c>
      <c r="C20" s="389" t="s">
        <v>11</v>
      </c>
      <c r="D20" s="406">
        <f>D23+D26</f>
        <v>8923.04</v>
      </c>
      <c r="E20" s="406">
        <f aca="true" t="shared" si="11" ref="E20:Q20">E23+E26</f>
        <v>8923</v>
      </c>
      <c r="F20" s="406">
        <f t="shared" si="11"/>
        <v>859.64</v>
      </c>
      <c r="G20" s="406">
        <f t="shared" si="11"/>
        <v>587.72</v>
      </c>
      <c r="H20" s="406">
        <f t="shared" si="11"/>
        <v>675.2</v>
      </c>
      <c r="I20" s="406">
        <f t="shared" si="11"/>
        <v>311.18000000000006</v>
      </c>
      <c r="J20" s="406">
        <f t="shared" si="11"/>
        <v>721.47</v>
      </c>
      <c r="K20" s="406">
        <f t="shared" si="11"/>
        <v>493.6</v>
      </c>
      <c r="L20" s="406">
        <f t="shared" si="11"/>
        <v>265.6</v>
      </c>
      <c r="M20" s="406">
        <f t="shared" si="11"/>
        <v>674.4</v>
      </c>
      <c r="N20" s="406">
        <f t="shared" si="11"/>
        <v>1128.8200000000002</v>
      </c>
      <c r="O20" s="406">
        <f t="shared" si="11"/>
        <v>540.8</v>
      </c>
      <c r="P20" s="406">
        <f t="shared" si="11"/>
        <v>1619.5</v>
      </c>
      <c r="Q20" s="410">
        <f t="shared" si="11"/>
        <v>1045.5</v>
      </c>
      <c r="R20" s="220"/>
      <c r="S20" s="269"/>
    </row>
    <row r="21" spans="1:19" s="268" customFormat="1" ht="39.75" customHeight="1">
      <c r="A21" s="387" t="s">
        <v>95</v>
      </c>
      <c r="B21" s="413" t="s">
        <v>305</v>
      </c>
      <c r="C21" s="405" t="s">
        <v>97</v>
      </c>
      <c r="D21" s="406">
        <v>1870</v>
      </c>
      <c r="E21" s="400">
        <f>SUM(F21:Q21)</f>
        <v>1870</v>
      </c>
      <c r="F21" s="400">
        <v>140</v>
      </c>
      <c r="G21" s="400">
        <v>122</v>
      </c>
      <c r="H21" s="400">
        <f>67-1</f>
        <v>66</v>
      </c>
      <c r="I21" s="414">
        <v>31.400000000000002</v>
      </c>
      <c r="J21" s="400">
        <v>133</v>
      </c>
      <c r="K21" s="400">
        <v>100</v>
      </c>
      <c r="L21" s="400">
        <v>64</v>
      </c>
      <c r="M21" s="400">
        <v>168.6</v>
      </c>
      <c r="N21" s="400">
        <v>266</v>
      </c>
      <c r="O21" s="400">
        <f>130-1</f>
        <v>129</v>
      </c>
      <c r="P21" s="400">
        <v>395</v>
      </c>
      <c r="Q21" s="415">
        <v>255</v>
      </c>
      <c r="R21" s="220">
        <f t="shared" si="2"/>
        <v>1870</v>
      </c>
      <c r="S21" s="269"/>
    </row>
    <row r="22" spans="1:19" s="268" customFormat="1" ht="39.75" customHeight="1">
      <c r="A22" s="387"/>
      <c r="B22" s="416" t="s">
        <v>37</v>
      </c>
      <c r="C22" s="405" t="s">
        <v>38</v>
      </c>
      <c r="D22" s="398">
        <v>41.2</v>
      </c>
      <c r="E22" s="398">
        <v>41.2</v>
      </c>
      <c r="F22" s="398">
        <v>41.5</v>
      </c>
      <c r="G22" s="398">
        <v>41.5</v>
      </c>
      <c r="H22" s="398">
        <v>41</v>
      </c>
      <c r="I22" s="398">
        <v>42</v>
      </c>
      <c r="J22" s="398">
        <v>41.5</v>
      </c>
      <c r="K22" s="398">
        <v>42.1</v>
      </c>
      <c r="L22" s="398">
        <v>41.5</v>
      </c>
      <c r="M22" s="398">
        <v>40</v>
      </c>
      <c r="N22" s="398">
        <v>41.5</v>
      </c>
      <c r="O22" s="398">
        <v>41</v>
      </c>
      <c r="P22" s="398">
        <v>41</v>
      </c>
      <c r="Q22" s="399">
        <v>41</v>
      </c>
      <c r="R22" s="220"/>
      <c r="S22" s="269"/>
    </row>
    <row r="23" spans="1:19" s="268" customFormat="1" ht="39.75" customHeight="1">
      <c r="A23" s="417"/>
      <c r="B23" s="416" t="s">
        <v>39</v>
      </c>
      <c r="C23" s="405" t="s">
        <v>11</v>
      </c>
      <c r="D23" s="406">
        <v>7700</v>
      </c>
      <c r="E23" s="400">
        <v>7700</v>
      </c>
      <c r="F23" s="398">
        <f>F22*F21/10</f>
        <v>581</v>
      </c>
      <c r="G23" s="398">
        <f aca="true" t="shared" si="12" ref="G23:Q23">G22*G21/10</f>
        <v>506.3</v>
      </c>
      <c r="H23" s="398">
        <f t="shared" si="12"/>
        <v>270.6</v>
      </c>
      <c r="I23" s="398">
        <f t="shared" si="12"/>
        <v>131.88000000000002</v>
      </c>
      <c r="J23" s="398">
        <f t="shared" si="12"/>
        <v>551.95</v>
      </c>
      <c r="K23" s="398">
        <f t="shared" si="12"/>
        <v>421</v>
      </c>
      <c r="L23" s="398">
        <f t="shared" si="12"/>
        <v>265.6</v>
      </c>
      <c r="M23" s="398">
        <f t="shared" si="12"/>
        <v>674.4</v>
      </c>
      <c r="N23" s="398">
        <f t="shared" si="12"/>
        <v>1103.9</v>
      </c>
      <c r="O23" s="398">
        <f t="shared" si="12"/>
        <v>528.9</v>
      </c>
      <c r="P23" s="398">
        <f t="shared" si="12"/>
        <v>1619.5</v>
      </c>
      <c r="Q23" s="399">
        <f t="shared" si="12"/>
        <v>1045.5</v>
      </c>
      <c r="R23" s="220">
        <f t="shared" si="2"/>
        <v>7700.530000000001</v>
      </c>
      <c r="S23" s="269"/>
    </row>
    <row r="24" spans="1:19" s="268" customFormat="1" ht="39.75" customHeight="1">
      <c r="A24" s="417" t="s">
        <v>95</v>
      </c>
      <c r="B24" s="413" t="s">
        <v>306</v>
      </c>
      <c r="C24" s="405" t="s">
        <v>31</v>
      </c>
      <c r="D24" s="418">
        <v>735</v>
      </c>
      <c r="E24" s="418">
        <v>735</v>
      </c>
      <c r="F24" s="418">
        <f>173-1</f>
        <v>172</v>
      </c>
      <c r="G24" s="418">
        <f>47-1</f>
        <v>46</v>
      </c>
      <c r="H24" s="418">
        <f>239-1</f>
        <v>238</v>
      </c>
      <c r="I24" s="419">
        <f>115-5</f>
        <v>110</v>
      </c>
      <c r="J24" s="418">
        <f>107-3</f>
        <v>104</v>
      </c>
      <c r="K24" s="419">
        <f>47-3</f>
        <v>44</v>
      </c>
      <c r="L24" s="418"/>
      <c r="M24" s="418"/>
      <c r="N24" s="418">
        <v>14</v>
      </c>
      <c r="O24" s="418">
        <f>8-1</f>
        <v>7</v>
      </c>
      <c r="P24" s="418"/>
      <c r="Q24" s="420"/>
      <c r="R24" s="220">
        <f t="shared" si="2"/>
        <v>735</v>
      </c>
      <c r="S24" s="269"/>
    </row>
    <row r="25" spans="1:19" s="268" customFormat="1" ht="39.75" customHeight="1">
      <c r="A25" s="417"/>
      <c r="B25" s="416" t="s">
        <v>37</v>
      </c>
      <c r="C25" s="405" t="s">
        <v>38</v>
      </c>
      <c r="D25" s="398">
        <v>16.64</v>
      </c>
      <c r="E25" s="408">
        <v>16.6</v>
      </c>
      <c r="F25" s="408">
        <v>16.2</v>
      </c>
      <c r="G25" s="408">
        <v>17.7</v>
      </c>
      <c r="H25" s="408">
        <v>17</v>
      </c>
      <c r="I25" s="408">
        <v>16.3</v>
      </c>
      <c r="J25" s="408">
        <v>16.3</v>
      </c>
      <c r="K25" s="408">
        <v>16.5</v>
      </c>
      <c r="L25" s="408"/>
      <c r="M25" s="408"/>
      <c r="N25" s="408">
        <v>17.8</v>
      </c>
      <c r="O25" s="408">
        <v>17</v>
      </c>
      <c r="P25" s="421"/>
      <c r="Q25" s="422"/>
      <c r="R25" s="220"/>
      <c r="S25" s="269"/>
    </row>
    <row r="26" spans="1:19" s="268" customFormat="1" ht="39.75" customHeight="1">
      <c r="A26" s="417"/>
      <c r="B26" s="416" t="s">
        <v>39</v>
      </c>
      <c r="C26" s="405" t="s">
        <v>11</v>
      </c>
      <c r="D26" s="406">
        <f>(D24*D25)/10</f>
        <v>1223.04</v>
      </c>
      <c r="E26" s="400">
        <v>1223</v>
      </c>
      <c r="F26" s="398">
        <f>F25*F24/10</f>
        <v>278.64</v>
      </c>
      <c r="G26" s="398">
        <f aca="true" t="shared" si="13" ref="G26:O26">G25*G24/10</f>
        <v>81.41999999999999</v>
      </c>
      <c r="H26" s="398">
        <f t="shared" si="13"/>
        <v>404.6</v>
      </c>
      <c r="I26" s="398">
        <f t="shared" si="13"/>
        <v>179.3</v>
      </c>
      <c r="J26" s="398">
        <f t="shared" si="13"/>
        <v>169.52</v>
      </c>
      <c r="K26" s="398">
        <f t="shared" si="13"/>
        <v>72.6</v>
      </c>
      <c r="L26" s="398"/>
      <c r="M26" s="398"/>
      <c r="N26" s="398">
        <f t="shared" si="13"/>
        <v>24.92</v>
      </c>
      <c r="O26" s="398">
        <f t="shared" si="13"/>
        <v>11.9</v>
      </c>
      <c r="P26" s="398"/>
      <c r="Q26" s="399"/>
      <c r="R26" s="220">
        <f t="shared" si="2"/>
        <v>1222.9</v>
      </c>
      <c r="S26" s="269"/>
    </row>
    <row r="27" spans="1:19" s="271" customFormat="1" ht="39.75" customHeight="1">
      <c r="A27" s="377" t="s">
        <v>100</v>
      </c>
      <c r="B27" s="378" t="s">
        <v>44</v>
      </c>
      <c r="C27" s="381" t="s">
        <v>97</v>
      </c>
      <c r="D27" s="423">
        <f>D30+D33</f>
        <v>150</v>
      </c>
      <c r="E27" s="423">
        <f aca="true" t="shared" si="14" ref="E27:Q27">E30+E33</f>
        <v>150</v>
      </c>
      <c r="F27" s="424">
        <f t="shared" si="14"/>
        <v>3.4000000000000004</v>
      </c>
      <c r="G27" s="424">
        <f t="shared" si="14"/>
        <v>4</v>
      </c>
      <c r="H27" s="424">
        <f t="shared" si="14"/>
        <v>3.2</v>
      </c>
      <c r="I27" s="424">
        <f t="shared" si="14"/>
        <v>15.7</v>
      </c>
      <c r="J27" s="424">
        <f t="shared" si="14"/>
        <v>36.2</v>
      </c>
      <c r="K27" s="424">
        <f t="shared" si="14"/>
        <v>4.5</v>
      </c>
      <c r="L27" s="424">
        <f t="shared" si="14"/>
        <v>2</v>
      </c>
      <c r="M27" s="424">
        <f t="shared" si="14"/>
        <v>2</v>
      </c>
      <c r="N27" s="424">
        <f t="shared" si="14"/>
        <v>21</v>
      </c>
      <c r="O27" s="424">
        <f t="shared" si="14"/>
        <v>48</v>
      </c>
      <c r="P27" s="424">
        <f t="shared" si="14"/>
        <v>5</v>
      </c>
      <c r="Q27" s="425">
        <f t="shared" si="14"/>
        <v>5</v>
      </c>
      <c r="R27" s="220">
        <f t="shared" si="2"/>
        <v>150</v>
      </c>
      <c r="S27" s="270"/>
    </row>
    <row r="28" spans="1:19" s="268" customFormat="1" ht="39.75" customHeight="1">
      <c r="A28" s="417"/>
      <c r="B28" s="388" t="s">
        <v>37</v>
      </c>
      <c r="C28" s="389" t="s">
        <v>38</v>
      </c>
      <c r="D28" s="418">
        <v>42</v>
      </c>
      <c r="E28" s="426">
        <v>42</v>
      </c>
      <c r="F28" s="408">
        <f>F29*10/F27</f>
        <v>47.382352941176464</v>
      </c>
      <c r="G28" s="408">
        <f aca="true" t="shared" si="15" ref="G28:Q28">G29*10/G27</f>
        <v>47.714999999999996</v>
      </c>
      <c r="H28" s="408">
        <f t="shared" si="15"/>
        <v>46.48125</v>
      </c>
      <c r="I28" s="408">
        <f t="shared" si="15"/>
        <v>46.459235668789816</v>
      </c>
      <c r="J28" s="408">
        <f t="shared" si="15"/>
        <v>45.39999999999999</v>
      </c>
      <c r="K28" s="408">
        <f t="shared" si="15"/>
        <v>42.84444444444444</v>
      </c>
      <c r="L28" s="408">
        <f t="shared" si="15"/>
        <v>31.5</v>
      </c>
      <c r="M28" s="408">
        <f t="shared" si="15"/>
        <v>39.3</v>
      </c>
      <c r="N28" s="408">
        <f t="shared" si="15"/>
        <v>43.1</v>
      </c>
      <c r="O28" s="408">
        <f t="shared" si="15"/>
        <v>41.3</v>
      </c>
      <c r="P28" s="408">
        <f t="shared" si="15"/>
        <v>39.5</v>
      </c>
      <c r="Q28" s="409">
        <f t="shared" si="15"/>
        <v>39.5</v>
      </c>
      <c r="R28" s="220">
        <f t="shared" si="2"/>
        <v>510.48228305441074</v>
      </c>
      <c r="S28" s="269"/>
    </row>
    <row r="29" spans="1:19" s="271" customFormat="1" ht="39.75" customHeight="1">
      <c r="A29" s="377"/>
      <c r="B29" s="388" t="s">
        <v>39</v>
      </c>
      <c r="C29" s="389" t="s">
        <v>11</v>
      </c>
      <c r="D29" s="418">
        <f>(D27*D28)/10</f>
        <v>630</v>
      </c>
      <c r="E29" s="418">
        <f>E32+E35</f>
        <v>649.694</v>
      </c>
      <c r="F29" s="398">
        <f aca="true" t="shared" si="16" ref="F29:Q29">F32+F35</f>
        <v>16.11</v>
      </c>
      <c r="G29" s="398">
        <f t="shared" si="16"/>
        <v>19.086</v>
      </c>
      <c r="H29" s="398">
        <f t="shared" si="16"/>
        <v>14.874</v>
      </c>
      <c r="I29" s="398">
        <f t="shared" si="16"/>
        <v>72.941</v>
      </c>
      <c r="J29" s="398">
        <f t="shared" si="16"/>
        <v>164.34799999999998</v>
      </c>
      <c r="K29" s="398">
        <f t="shared" si="16"/>
        <v>19.279999999999998</v>
      </c>
      <c r="L29" s="398">
        <f t="shared" si="16"/>
        <v>6.3</v>
      </c>
      <c r="M29" s="398">
        <f t="shared" si="16"/>
        <v>7.859999999999999</v>
      </c>
      <c r="N29" s="398">
        <f t="shared" si="16"/>
        <v>90.51</v>
      </c>
      <c r="O29" s="398">
        <f t="shared" si="16"/>
        <v>198.23999999999998</v>
      </c>
      <c r="P29" s="398">
        <f t="shared" si="16"/>
        <v>19.75</v>
      </c>
      <c r="Q29" s="399">
        <f t="shared" si="16"/>
        <v>19.75</v>
      </c>
      <c r="R29" s="220">
        <f t="shared" si="2"/>
        <v>649.049</v>
      </c>
      <c r="S29" s="270"/>
    </row>
    <row r="30" spans="1:19" s="273" customFormat="1" ht="39.75" customHeight="1">
      <c r="A30" s="427" t="s">
        <v>35</v>
      </c>
      <c r="B30" s="428" t="s">
        <v>45</v>
      </c>
      <c r="C30" s="429" t="s">
        <v>97</v>
      </c>
      <c r="D30" s="430">
        <v>10</v>
      </c>
      <c r="E30" s="430">
        <f>SUM(F30:K30)</f>
        <v>10</v>
      </c>
      <c r="F30" s="431">
        <v>1.2</v>
      </c>
      <c r="G30" s="431">
        <v>1.3</v>
      </c>
      <c r="H30" s="431">
        <v>1</v>
      </c>
      <c r="I30" s="431">
        <f>3-0.5</f>
        <v>2.5</v>
      </c>
      <c r="J30" s="431">
        <f>4-1</f>
        <v>3</v>
      </c>
      <c r="K30" s="431">
        <f>1.5-0.5</f>
        <v>1</v>
      </c>
      <c r="L30" s="432"/>
      <c r="M30" s="432"/>
      <c r="N30" s="432"/>
      <c r="O30" s="432"/>
      <c r="P30" s="432"/>
      <c r="Q30" s="433"/>
      <c r="R30" s="220">
        <f t="shared" si="2"/>
        <v>10</v>
      </c>
      <c r="S30" s="275"/>
    </row>
    <row r="31" spans="1:19" s="268" customFormat="1" ht="39.75" customHeight="1">
      <c r="A31" s="387"/>
      <c r="B31" s="388" t="s">
        <v>37</v>
      </c>
      <c r="C31" s="389" t="s">
        <v>38</v>
      </c>
      <c r="D31" s="398">
        <v>60.4</v>
      </c>
      <c r="E31" s="398">
        <v>60.4</v>
      </c>
      <c r="F31" s="398">
        <v>60</v>
      </c>
      <c r="G31" s="398">
        <v>60</v>
      </c>
      <c r="H31" s="398">
        <v>60.3</v>
      </c>
      <c r="I31" s="398">
        <v>60.5</v>
      </c>
      <c r="J31" s="398">
        <v>62</v>
      </c>
      <c r="K31" s="398">
        <v>50</v>
      </c>
      <c r="L31" s="398"/>
      <c r="M31" s="398"/>
      <c r="N31" s="398"/>
      <c r="O31" s="398"/>
      <c r="P31" s="398"/>
      <c r="Q31" s="399"/>
      <c r="R31" s="220"/>
      <c r="S31" s="269"/>
    </row>
    <row r="32" spans="1:19" s="268" customFormat="1" ht="39.75" customHeight="1">
      <c r="A32" s="387"/>
      <c r="B32" s="388" t="s">
        <v>39</v>
      </c>
      <c r="C32" s="389" t="s">
        <v>11</v>
      </c>
      <c r="D32" s="418">
        <f>D31*D30/10</f>
        <v>60.4</v>
      </c>
      <c r="E32" s="418">
        <f>E31*E30/10</f>
        <v>60.4</v>
      </c>
      <c r="F32" s="418">
        <f aca="true" t="shared" si="17" ref="F32:K32">F31*F30/10</f>
        <v>7.2</v>
      </c>
      <c r="G32" s="418">
        <f t="shared" si="17"/>
        <v>7.8</v>
      </c>
      <c r="H32" s="418">
        <f t="shared" si="17"/>
        <v>6.029999999999999</v>
      </c>
      <c r="I32" s="418">
        <f t="shared" si="17"/>
        <v>15.125</v>
      </c>
      <c r="J32" s="418">
        <f t="shared" si="17"/>
        <v>18.6</v>
      </c>
      <c r="K32" s="418">
        <f t="shared" si="17"/>
        <v>5</v>
      </c>
      <c r="L32" s="418"/>
      <c r="M32" s="418"/>
      <c r="N32" s="418"/>
      <c r="O32" s="418"/>
      <c r="P32" s="418"/>
      <c r="Q32" s="420"/>
      <c r="R32" s="220">
        <f t="shared" si="2"/>
        <v>59.755</v>
      </c>
      <c r="S32" s="269"/>
    </row>
    <row r="33" spans="1:19" s="273" customFormat="1" ht="39.75" customHeight="1">
      <c r="A33" s="427" t="s">
        <v>43</v>
      </c>
      <c r="B33" s="428" t="s">
        <v>46</v>
      </c>
      <c r="C33" s="429" t="s">
        <v>31</v>
      </c>
      <c r="D33" s="430">
        <v>140</v>
      </c>
      <c r="E33" s="434">
        <f>SUM(F33:Q33)</f>
        <v>140</v>
      </c>
      <c r="F33" s="435">
        <f>5.2-3</f>
        <v>2.2</v>
      </c>
      <c r="G33" s="435">
        <f>3.7-1</f>
        <v>2.7</v>
      </c>
      <c r="H33" s="435">
        <f>3.7-1.5</f>
        <v>2.2</v>
      </c>
      <c r="I33" s="435">
        <f>17.2-4</f>
        <v>13.2</v>
      </c>
      <c r="J33" s="435">
        <f>38.2-5</f>
        <v>33.2</v>
      </c>
      <c r="K33" s="435">
        <f>4-0.5</f>
        <v>3.5</v>
      </c>
      <c r="L33" s="435">
        <v>2</v>
      </c>
      <c r="M33" s="435">
        <v>2</v>
      </c>
      <c r="N33" s="435">
        <f>24-3</f>
        <v>21</v>
      </c>
      <c r="O33" s="435">
        <f>53-5</f>
        <v>48</v>
      </c>
      <c r="P33" s="435">
        <v>5</v>
      </c>
      <c r="Q33" s="436">
        <f>7-2</f>
        <v>5</v>
      </c>
      <c r="R33" s="220">
        <f t="shared" si="2"/>
        <v>140</v>
      </c>
      <c r="S33" s="275"/>
    </row>
    <row r="34" spans="1:19" s="268" customFormat="1" ht="39.75" customHeight="1">
      <c r="A34" s="387"/>
      <c r="B34" s="388" t="s">
        <v>37</v>
      </c>
      <c r="C34" s="389" t="s">
        <v>38</v>
      </c>
      <c r="D34" s="398">
        <v>40.7</v>
      </c>
      <c r="E34" s="408">
        <f>(E35/E33)*10</f>
        <v>42.09242857142857</v>
      </c>
      <c r="F34" s="398">
        <v>40.5</v>
      </c>
      <c r="G34" s="398">
        <v>41.8</v>
      </c>
      <c r="H34" s="398">
        <v>40.2</v>
      </c>
      <c r="I34" s="398">
        <v>43.8</v>
      </c>
      <c r="J34" s="398">
        <v>43.9</v>
      </c>
      <c r="K34" s="398">
        <v>40.8</v>
      </c>
      <c r="L34" s="398">
        <v>31.5</v>
      </c>
      <c r="M34" s="398">
        <v>39.3</v>
      </c>
      <c r="N34" s="398">
        <v>43.1</v>
      </c>
      <c r="O34" s="398">
        <v>41.3</v>
      </c>
      <c r="P34" s="398">
        <v>39.5</v>
      </c>
      <c r="Q34" s="399">
        <v>39.5</v>
      </c>
      <c r="R34" s="220">
        <f t="shared" si="2"/>
        <v>485.20000000000005</v>
      </c>
      <c r="S34" s="269"/>
    </row>
    <row r="35" spans="1:19" s="268" customFormat="1" ht="39.75" customHeight="1">
      <c r="A35" s="387"/>
      <c r="B35" s="388" t="s">
        <v>39</v>
      </c>
      <c r="C35" s="389" t="s">
        <v>11</v>
      </c>
      <c r="D35" s="418">
        <f>D34*D33/10</f>
        <v>569.8</v>
      </c>
      <c r="E35" s="426">
        <f>SUM(F35:Q35)</f>
        <v>589.294</v>
      </c>
      <c r="F35" s="398">
        <f>F34*F33/10</f>
        <v>8.91</v>
      </c>
      <c r="G35" s="398">
        <f aca="true" t="shared" si="18" ref="G35:Q35">G34*G33/10</f>
        <v>11.286</v>
      </c>
      <c r="H35" s="398">
        <f t="shared" si="18"/>
        <v>8.844000000000001</v>
      </c>
      <c r="I35" s="398">
        <f t="shared" si="18"/>
        <v>57.815999999999995</v>
      </c>
      <c r="J35" s="398">
        <f t="shared" si="18"/>
        <v>145.748</v>
      </c>
      <c r="K35" s="398">
        <f t="shared" si="18"/>
        <v>14.279999999999998</v>
      </c>
      <c r="L35" s="398">
        <f t="shared" si="18"/>
        <v>6.3</v>
      </c>
      <c r="M35" s="398">
        <f t="shared" si="18"/>
        <v>7.859999999999999</v>
      </c>
      <c r="N35" s="398">
        <f t="shared" si="18"/>
        <v>90.51</v>
      </c>
      <c r="O35" s="398">
        <f t="shared" si="18"/>
        <v>198.23999999999998</v>
      </c>
      <c r="P35" s="398">
        <f t="shared" si="18"/>
        <v>19.75</v>
      </c>
      <c r="Q35" s="399">
        <f t="shared" si="18"/>
        <v>19.75</v>
      </c>
      <c r="R35" s="220">
        <f t="shared" si="2"/>
        <v>589.294</v>
      </c>
      <c r="S35" s="269"/>
    </row>
    <row r="36" spans="1:19" s="271" customFormat="1" ht="39.75" customHeight="1">
      <c r="A36" s="392">
        <v>2</v>
      </c>
      <c r="B36" s="437" t="s">
        <v>221</v>
      </c>
      <c r="C36" s="381" t="s">
        <v>31</v>
      </c>
      <c r="D36" s="438">
        <v>3800</v>
      </c>
      <c r="E36" s="439">
        <f>SUM(F36:Q36)</f>
        <v>3800</v>
      </c>
      <c r="F36" s="440">
        <f>804-11</f>
        <v>793</v>
      </c>
      <c r="G36" s="440">
        <f>463-11</f>
        <v>452</v>
      </c>
      <c r="H36" s="440">
        <f>1445-12</f>
        <v>1433</v>
      </c>
      <c r="I36" s="440">
        <f>293-14</f>
        <v>279</v>
      </c>
      <c r="J36" s="440">
        <f>312-11</f>
        <v>301</v>
      </c>
      <c r="K36" s="440">
        <f>249-12</f>
        <v>237</v>
      </c>
      <c r="L36" s="440">
        <f>135-8</f>
        <v>127</v>
      </c>
      <c r="M36" s="440">
        <f>77-7</f>
        <v>70</v>
      </c>
      <c r="N36" s="440">
        <f>62-5</f>
        <v>57</v>
      </c>
      <c r="O36" s="440">
        <f>40-5</f>
        <v>35</v>
      </c>
      <c r="P36" s="440">
        <f>10-2</f>
        <v>8</v>
      </c>
      <c r="Q36" s="441">
        <f>10-2</f>
        <v>8</v>
      </c>
      <c r="R36" s="220">
        <f t="shared" si="2"/>
        <v>3800</v>
      </c>
      <c r="S36" s="270"/>
    </row>
    <row r="37" spans="1:19" s="268" customFormat="1" ht="39.75" customHeight="1">
      <c r="A37" s="387"/>
      <c r="B37" s="388" t="s">
        <v>37</v>
      </c>
      <c r="C37" s="389" t="s">
        <v>38</v>
      </c>
      <c r="D37" s="411">
        <v>132.3</v>
      </c>
      <c r="E37" s="401">
        <v>132.3</v>
      </c>
      <c r="F37" s="411">
        <v>132.3</v>
      </c>
      <c r="G37" s="411">
        <v>132.5</v>
      </c>
      <c r="H37" s="411">
        <v>132.2</v>
      </c>
      <c r="I37" s="411">
        <v>132</v>
      </c>
      <c r="J37" s="411">
        <v>132.5</v>
      </c>
      <c r="K37" s="411">
        <v>132.5</v>
      </c>
      <c r="L37" s="411">
        <v>131.09</v>
      </c>
      <c r="M37" s="411">
        <v>132</v>
      </c>
      <c r="N37" s="411">
        <v>132.5</v>
      </c>
      <c r="O37" s="411">
        <v>132.5</v>
      </c>
      <c r="P37" s="411">
        <v>132</v>
      </c>
      <c r="Q37" s="412">
        <v>132</v>
      </c>
      <c r="R37" s="220">
        <f t="shared" si="2"/>
        <v>1586.0900000000001</v>
      </c>
      <c r="S37" s="269"/>
    </row>
    <row r="38" spans="1:19" s="271" customFormat="1" ht="39.75" customHeight="1">
      <c r="A38" s="377"/>
      <c r="B38" s="388" t="s">
        <v>39</v>
      </c>
      <c r="C38" s="389" t="s">
        <v>11</v>
      </c>
      <c r="D38" s="406">
        <v>50255</v>
      </c>
      <c r="E38" s="406">
        <v>50255</v>
      </c>
      <c r="F38" s="411">
        <f>F37*F36/10</f>
        <v>10491.390000000001</v>
      </c>
      <c r="G38" s="411">
        <f aca="true" t="shared" si="19" ref="G38:Q38">G37*G36/10</f>
        <v>5989</v>
      </c>
      <c r="H38" s="411">
        <f t="shared" si="19"/>
        <v>18944.26</v>
      </c>
      <c r="I38" s="411">
        <f t="shared" si="19"/>
        <v>3682.8</v>
      </c>
      <c r="J38" s="411">
        <f t="shared" si="19"/>
        <v>3988.25</v>
      </c>
      <c r="K38" s="411">
        <f t="shared" si="19"/>
        <v>3140.25</v>
      </c>
      <c r="L38" s="411">
        <f t="shared" si="19"/>
        <v>1664.843</v>
      </c>
      <c r="M38" s="411">
        <f t="shared" si="19"/>
        <v>924</v>
      </c>
      <c r="N38" s="411">
        <f t="shared" si="19"/>
        <v>755.25</v>
      </c>
      <c r="O38" s="411">
        <f t="shared" si="19"/>
        <v>463.75</v>
      </c>
      <c r="P38" s="411">
        <f t="shared" si="19"/>
        <v>105.6</v>
      </c>
      <c r="Q38" s="412">
        <f t="shared" si="19"/>
        <v>105.6</v>
      </c>
      <c r="R38" s="220">
        <f t="shared" si="2"/>
        <v>50254.992999999995</v>
      </c>
      <c r="S38" s="270"/>
    </row>
    <row r="39" spans="1:19" s="271" customFormat="1" ht="39.75" customHeight="1">
      <c r="A39" s="392">
        <v>3</v>
      </c>
      <c r="B39" s="378" t="s">
        <v>222</v>
      </c>
      <c r="C39" s="381" t="s">
        <v>31</v>
      </c>
      <c r="D39" s="423">
        <v>120</v>
      </c>
      <c r="E39" s="423">
        <f>E40+E41</f>
        <v>120</v>
      </c>
      <c r="F39" s="424">
        <f aca="true" t="shared" si="20" ref="F39:Q39">F40+F41</f>
        <v>11</v>
      </c>
      <c r="G39" s="424">
        <f t="shared" si="20"/>
        <v>11</v>
      </c>
      <c r="H39" s="424">
        <f t="shared" si="20"/>
        <v>11</v>
      </c>
      <c r="I39" s="424">
        <f t="shared" si="20"/>
        <v>13.899999999999999</v>
      </c>
      <c r="J39" s="424">
        <f t="shared" si="20"/>
        <v>12.9</v>
      </c>
      <c r="K39" s="424">
        <f t="shared" si="20"/>
        <v>9.3</v>
      </c>
      <c r="L39" s="424">
        <f t="shared" si="20"/>
        <v>4.6</v>
      </c>
      <c r="M39" s="424">
        <f t="shared" si="20"/>
        <v>8</v>
      </c>
      <c r="N39" s="424">
        <f t="shared" si="20"/>
        <v>11.399999999999999</v>
      </c>
      <c r="O39" s="424">
        <f t="shared" si="20"/>
        <v>9.7</v>
      </c>
      <c r="P39" s="424">
        <f t="shared" si="20"/>
        <v>8.1</v>
      </c>
      <c r="Q39" s="425">
        <f t="shared" si="20"/>
        <v>9.1</v>
      </c>
      <c r="R39" s="220">
        <f t="shared" si="2"/>
        <v>119.99999999999999</v>
      </c>
      <c r="S39" s="270"/>
    </row>
    <row r="40" spans="1:19" s="268" customFormat="1" ht="39.75" customHeight="1">
      <c r="A40" s="403" t="s">
        <v>9</v>
      </c>
      <c r="B40" s="388" t="s">
        <v>223</v>
      </c>
      <c r="C40" s="389" t="s">
        <v>31</v>
      </c>
      <c r="D40" s="442" t="s">
        <v>9</v>
      </c>
      <c r="E40" s="426">
        <f>SUM(F40:Q40)</f>
        <v>40.00000000000001</v>
      </c>
      <c r="F40" s="398">
        <v>1.5</v>
      </c>
      <c r="G40" s="398">
        <v>2.6</v>
      </c>
      <c r="H40" s="398">
        <v>4.3</v>
      </c>
      <c r="I40" s="398">
        <v>7.1</v>
      </c>
      <c r="J40" s="398">
        <v>5.5</v>
      </c>
      <c r="K40" s="398">
        <v>3.1</v>
      </c>
      <c r="L40" s="398">
        <v>1.6</v>
      </c>
      <c r="M40" s="398">
        <v>2.1</v>
      </c>
      <c r="N40" s="398">
        <v>4.8</v>
      </c>
      <c r="O40" s="398">
        <v>4.1</v>
      </c>
      <c r="P40" s="398">
        <v>1.6</v>
      </c>
      <c r="Q40" s="399">
        <v>1.7</v>
      </c>
      <c r="R40" s="220">
        <f t="shared" si="2"/>
        <v>40.00000000000001</v>
      </c>
      <c r="S40" s="269"/>
    </row>
    <row r="41" spans="1:19" s="271" customFormat="1" ht="39.75" customHeight="1">
      <c r="A41" s="403" t="s">
        <v>9</v>
      </c>
      <c r="B41" s="388" t="s">
        <v>224</v>
      </c>
      <c r="C41" s="389" t="s">
        <v>31</v>
      </c>
      <c r="D41" s="442" t="s">
        <v>9</v>
      </c>
      <c r="E41" s="426">
        <f>SUM(F41:Q41)</f>
        <v>80</v>
      </c>
      <c r="F41" s="408">
        <f>10.5-1</f>
        <v>9.5</v>
      </c>
      <c r="G41" s="408">
        <v>8.4</v>
      </c>
      <c r="H41" s="408">
        <v>6.7</v>
      </c>
      <c r="I41" s="408">
        <f>7.8-1</f>
        <v>6.8</v>
      </c>
      <c r="J41" s="408">
        <f>9.4-2</f>
        <v>7.4</v>
      </c>
      <c r="K41" s="408">
        <v>6.2</v>
      </c>
      <c r="L41" s="408">
        <f>4-1</f>
        <v>3</v>
      </c>
      <c r="M41" s="408">
        <v>5.9</v>
      </c>
      <c r="N41" s="408">
        <v>6.6</v>
      </c>
      <c r="O41" s="408">
        <f>7.6-2</f>
        <v>5.6</v>
      </c>
      <c r="P41" s="408">
        <f>7-0.5</f>
        <v>6.5</v>
      </c>
      <c r="Q41" s="409">
        <f>7.9-0.5</f>
        <v>7.4</v>
      </c>
      <c r="R41" s="220">
        <f t="shared" si="2"/>
        <v>80</v>
      </c>
      <c r="S41" s="270"/>
    </row>
    <row r="42" spans="1:19" s="271" customFormat="1" ht="39.75" customHeight="1">
      <c r="A42" s="443">
        <v>4</v>
      </c>
      <c r="B42" s="378" t="s">
        <v>101</v>
      </c>
      <c r="C42" s="381" t="s">
        <v>31</v>
      </c>
      <c r="D42" s="438">
        <f>D43+D48+D53+D55</f>
        <v>3877</v>
      </c>
      <c r="E42" s="438">
        <f>E43+E48+E53+E55</f>
        <v>3925.09</v>
      </c>
      <c r="F42" s="424">
        <f aca="true" t="shared" si="21" ref="F42:Q42">F43+F48+F53+F55</f>
        <v>691.9</v>
      </c>
      <c r="G42" s="424">
        <f t="shared" si="21"/>
        <v>1028.6</v>
      </c>
      <c r="H42" s="424">
        <f t="shared" si="21"/>
        <v>501.40000000000003</v>
      </c>
      <c r="I42" s="424">
        <f t="shared" si="21"/>
        <v>115.5</v>
      </c>
      <c r="J42" s="424">
        <f t="shared" si="21"/>
        <v>75.4</v>
      </c>
      <c r="K42" s="424">
        <f t="shared" si="21"/>
        <v>77</v>
      </c>
      <c r="L42" s="424">
        <f t="shared" si="21"/>
        <v>293.59999999999997</v>
      </c>
      <c r="M42" s="424">
        <f t="shared" si="21"/>
        <v>133.99</v>
      </c>
      <c r="N42" s="424">
        <f t="shared" si="21"/>
        <v>505.8</v>
      </c>
      <c r="O42" s="424">
        <f t="shared" si="21"/>
        <v>223.49999999999997</v>
      </c>
      <c r="P42" s="424">
        <f t="shared" si="21"/>
        <v>151</v>
      </c>
      <c r="Q42" s="425">
        <f t="shared" si="21"/>
        <v>127.4</v>
      </c>
      <c r="R42" s="220">
        <f t="shared" si="2"/>
        <v>3925.0900000000006</v>
      </c>
      <c r="S42" s="270"/>
    </row>
    <row r="43" spans="1:19" s="271" customFormat="1" ht="39.75" customHeight="1">
      <c r="A43" s="444" t="s">
        <v>102</v>
      </c>
      <c r="B43" s="378" t="s">
        <v>145</v>
      </c>
      <c r="C43" s="381" t="s">
        <v>31</v>
      </c>
      <c r="D43" s="445">
        <v>1770</v>
      </c>
      <c r="E43" s="446">
        <f>SUM(F43:Q43)</f>
        <v>1782.19</v>
      </c>
      <c r="F43" s="447">
        <f>217.8+174+F44</f>
        <v>400.8</v>
      </c>
      <c r="G43" s="447">
        <f>54+G44</f>
        <v>56.5</v>
      </c>
      <c r="H43" s="447">
        <v>50.5</v>
      </c>
      <c r="I43" s="447">
        <v>24.7</v>
      </c>
      <c r="J43" s="447">
        <v>14.2</v>
      </c>
      <c r="K43" s="447">
        <f>37.2+K44</f>
        <v>40.7</v>
      </c>
      <c r="L43" s="447">
        <v>262.7</v>
      </c>
      <c r="M43" s="447">
        <v>127.29</v>
      </c>
      <c r="N43" s="447">
        <v>389.3</v>
      </c>
      <c r="O43" s="447">
        <v>172.7</v>
      </c>
      <c r="P43" s="447">
        <v>134.5</v>
      </c>
      <c r="Q43" s="448">
        <v>108.3</v>
      </c>
      <c r="R43" s="220">
        <f t="shared" si="2"/>
        <v>1782.19</v>
      </c>
      <c r="S43" s="270"/>
    </row>
    <row r="44" spans="1:19" s="271" customFormat="1" ht="39.75" customHeight="1">
      <c r="A44" s="444"/>
      <c r="B44" s="449" t="s">
        <v>47</v>
      </c>
      <c r="C44" s="389" t="s">
        <v>31</v>
      </c>
      <c r="D44" s="450">
        <v>15</v>
      </c>
      <c r="E44" s="450">
        <f>SUM(F44:Q44)</f>
        <v>15</v>
      </c>
      <c r="F44" s="451">
        <v>9</v>
      </c>
      <c r="G44" s="451">
        <v>2.5</v>
      </c>
      <c r="H44" s="451"/>
      <c r="I44" s="451"/>
      <c r="J44" s="451"/>
      <c r="K44" s="451">
        <v>3.5</v>
      </c>
      <c r="L44" s="451"/>
      <c r="M44" s="451"/>
      <c r="N44" s="451"/>
      <c r="O44" s="451"/>
      <c r="P44" s="451"/>
      <c r="Q44" s="452"/>
      <c r="R44" s="220">
        <f t="shared" si="2"/>
        <v>15</v>
      </c>
      <c r="S44" s="270"/>
    </row>
    <row r="45" spans="1:19" s="271" customFormat="1" ht="39.75" customHeight="1">
      <c r="A45" s="377"/>
      <c r="B45" s="449" t="s">
        <v>228</v>
      </c>
      <c r="C45" s="389" t="s">
        <v>31</v>
      </c>
      <c r="D45" s="450">
        <v>1554</v>
      </c>
      <c r="E45" s="450">
        <v>1554</v>
      </c>
      <c r="F45" s="453"/>
      <c r="G45" s="453"/>
      <c r="H45" s="453"/>
      <c r="I45" s="453"/>
      <c r="J45" s="453"/>
      <c r="K45" s="453"/>
      <c r="L45" s="453"/>
      <c r="M45" s="453"/>
      <c r="N45" s="453"/>
      <c r="O45" s="453"/>
      <c r="P45" s="453"/>
      <c r="Q45" s="454"/>
      <c r="R45" s="220">
        <f t="shared" si="2"/>
        <v>0</v>
      </c>
      <c r="S45" s="270"/>
    </row>
    <row r="46" spans="1:19" s="268" customFormat="1" ht="39.75" customHeight="1">
      <c r="A46" s="387"/>
      <c r="B46" s="416" t="s">
        <v>37</v>
      </c>
      <c r="C46" s="405" t="s">
        <v>38</v>
      </c>
      <c r="D46" s="455">
        <f>(D47/D45)*10</f>
        <v>12.0997425997426</v>
      </c>
      <c r="E46" s="455">
        <v>12.1</v>
      </c>
      <c r="F46" s="456"/>
      <c r="G46" s="456"/>
      <c r="H46" s="456"/>
      <c r="I46" s="456"/>
      <c r="J46" s="456"/>
      <c r="K46" s="456"/>
      <c r="L46" s="456"/>
      <c r="M46" s="456"/>
      <c r="N46" s="456"/>
      <c r="O46" s="456"/>
      <c r="P46" s="456"/>
      <c r="Q46" s="457"/>
      <c r="R46" s="220">
        <f t="shared" si="2"/>
        <v>0</v>
      </c>
      <c r="S46" s="269"/>
    </row>
    <row r="47" spans="1:19" s="268" customFormat="1" ht="39.75" customHeight="1">
      <c r="A47" s="387"/>
      <c r="B47" s="416" t="s">
        <v>39</v>
      </c>
      <c r="C47" s="405" t="s">
        <v>32</v>
      </c>
      <c r="D47" s="450">
        <v>1880.3</v>
      </c>
      <c r="E47" s="450">
        <v>1880.3</v>
      </c>
      <c r="F47" s="458"/>
      <c r="G47" s="458"/>
      <c r="H47" s="458"/>
      <c r="I47" s="458"/>
      <c r="J47" s="458"/>
      <c r="K47" s="458"/>
      <c r="L47" s="458"/>
      <c r="M47" s="458"/>
      <c r="N47" s="458"/>
      <c r="O47" s="458"/>
      <c r="P47" s="458"/>
      <c r="Q47" s="459"/>
      <c r="R47" s="220">
        <f t="shared" si="2"/>
        <v>0</v>
      </c>
      <c r="S47" s="269"/>
    </row>
    <row r="48" spans="1:19" s="271" customFormat="1" ht="39.75" customHeight="1">
      <c r="A48" s="377" t="s">
        <v>103</v>
      </c>
      <c r="B48" s="378" t="s">
        <v>144</v>
      </c>
      <c r="C48" s="381" t="s">
        <v>31</v>
      </c>
      <c r="D48" s="445">
        <v>1544</v>
      </c>
      <c r="E48" s="445">
        <f>SUM(F48:I48)</f>
        <v>1577.1</v>
      </c>
      <c r="F48" s="424">
        <v>195.9</v>
      </c>
      <c r="G48" s="424">
        <f>588.5+344.6</f>
        <v>933.1</v>
      </c>
      <c r="H48" s="424">
        <v>412.1</v>
      </c>
      <c r="I48" s="424">
        <v>36</v>
      </c>
      <c r="J48" s="460"/>
      <c r="K48" s="460"/>
      <c r="L48" s="460"/>
      <c r="M48" s="460"/>
      <c r="N48" s="460"/>
      <c r="O48" s="460"/>
      <c r="P48" s="460"/>
      <c r="Q48" s="380"/>
      <c r="R48" s="220">
        <f t="shared" si="2"/>
        <v>1577.1</v>
      </c>
      <c r="S48" s="270"/>
    </row>
    <row r="49" spans="1:19" s="268" customFormat="1" ht="39.75" customHeight="1">
      <c r="A49" s="417"/>
      <c r="B49" s="449" t="s">
        <v>47</v>
      </c>
      <c r="C49" s="389" t="s">
        <v>31</v>
      </c>
      <c r="D49" s="450"/>
      <c r="E49" s="450">
        <v>0</v>
      </c>
      <c r="F49" s="458"/>
      <c r="G49" s="458"/>
      <c r="H49" s="458"/>
      <c r="I49" s="458"/>
      <c r="J49" s="458"/>
      <c r="K49" s="458"/>
      <c r="L49" s="458"/>
      <c r="M49" s="458"/>
      <c r="N49" s="458"/>
      <c r="O49" s="458"/>
      <c r="P49" s="458"/>
      <c r="Q49" s="459"/>
      <c r="R49" s="220">
        <f t="shared" si="2"/>
        <v>0</v>
      </c>
      <c r="S49" s="269"/>
    </row>
    <row r="50" spans="1:19" s="271" customFormat="1" ht="39.75" customHeight="1">
      <c r="A50" s="377"/>
      <c r="B50" s="449" t="s">
        <v>228</v>
      </c>
      <c r="C50" s="389" t="s">
        <v>31</v>
      </c>
      <c r="D50" s="450">
        <v>1119</v>
      </c>
      <c r="E50" s="450">
        <v>1119</v>
      </c>
      <c r="F50" s="453"/>
      <c r="G50" s="453"/>
      <c r="H50" s="453"/>
      <c r="I50" s="453"/>
      <c r="J50" s="453"/>
      <c r="K50" s="453"/>
      <c r="L50" s="453"/>
      <c r="M50" s="453"/>
      <c r="N50" s="453"/>
      <c r="O50" s="453"/>
      <c r="P50" s="453"/>
      <c r="Q50" s="454"/>
      <c r="R50" s="220">
        <f t="shared" si="2"/>
        <v>0</v>
      </c>
      <c r="S50" s="270"/>
    </row>
    <row r="51" spans="1:19" s="272" customFormat="1" ht="39.75" customHeight="1">
      <c r="A51" s="417"/>
      <c r="B51" s="416" t="s">
        <v>37</v>
      </c>
      <c r="C51" s="405" t="s">
        <v>48</v>
      </c>
      <c r="D51" s="461">
        <f>(D52/D50)*10</f>
        <v>8.248436103663986</v>
      </c>
      <c r="E51" s="461">
        <v>8.2</v>
      </c>
      <c r="F51" s="456"/>
      <c r="G51" s="456"/>
      <c r="H51" s="456"/>
      <c r="I51" s="456"/>
      <c r="J51" s="456"/>
      <c r="K51" s="456"/>
      <c r="L51" s="456"/>
      <c r="M51" s="456"/>
      <c r="N51" s="456"/>
      <c r="O51" s="456"/>
      <c r="P51" s="456"/>
      <c r="Q51" s="457"/>
      <c r="R51" s="289">
        <f t="shared" si="2"/>
        <v>0</v>
      </c>
      <c r="S51" s="274"/>
    </row>
    <row r="52" spans="1:19" s="272" customFormat="1" ht="39.75" customHeight="1">
      <c r="A52" s="417"/>
      <c r="B52" s="416" t="s">
        <v>39</v>
      </c>
      <c r="C52" s="405" t="s">
        <v>32</v>
      </c>
      <c r="D52" s="462">
        <v>923</v>
      </c>
      <c r="E52" s="462">
        <v>923.2</v>
      </c>
      <c r="F52" s="463"/>
      <c r="G52" s="463"/>
      <c r="H52" s="463"/>
      <c r="I52" s="463"/>
      <c r="J52" s="463"/>
      <c r="K52" s="463"/>
      <c r="L52" s="463"/>
      <c r="M52" s="463"/>
      <c r="N52" s="463"/>
      <c r="O52" s="463"/>
      <c r="P52" s="463"/>
      <c r="Q52" s="464"/>
      <c r="R52" s="289">
        <f t="shared" si="2"/>
        <v>0</v>
      </c>
      <c r="S52" s="274"/>
    </row>
    <row r="53" spans="1:19" s="271" customFormat="1" ht="39.75" customHeight="1">
      <c r="A53" s="377" t="s">
        <v>104</v>
      </c>
      <c r="B53" s="378" t="s">
        <v>172</v>
      </c>
      <c r="C53" s="381" t="s">
        <v>31</v>
      </c>
      <c r="D53" s="465">
        <v>372</v>
      </c>
      <c r="E53" s="466">
        <f>SUM(F53:Q53)</f>
        <v>374.5</v>
      </c>
      <c r="F53" s="424">
        <f>35.4+F54</f>
        <v>58.4</v>
      </c>
      <c r="G53" s="424">
        <f>12+G54</f>
        <v>36</v>
      </c>
      <c r="H53" s="424">
        <f>12.3+H54</f>
        <v>37.3</v>
      </c>
      <c r="I53" s="424">
        <f>19.9+I54</f>
        <v>46.9</v>
      </c>
      <c r="J53" s="424">
        <f>32.2+J54</f>
        <v>57.2</v>
      </c>
      <c r="K53" s="424">
        <f>12.9+K54</f>
        <v>25.9</v>
      </c>
      <c r="L53" s="424">
        <f>12.7+L54</f>
        <v>23.7</v>
      </c>
      <c r="M53" s="424">
        <f>1.7+M54</f>
        <v>6.7</v>
      </c>
      <c r="N53" s="424">
        <f>20.5+N54</f>
        <v>30.5</v>
      </c>
      <c r="O53" s="424">
        <f>12.6+O54</f>
        <v>22.6</v>
      </c>
      <c r="P53" s="424">
        <f>4.2+P54</f>
        <v>10.2</v>
      </c>
      <c r="Q53" s="425">
        <f>13.1+Q54</f>
        <v>19.1</v>
      </c>
      <c r="R53" s="220">
        <f t="shared" si="2"/>
        <v>374.5</v>
      </c>
      <c r="S53" s="270"/>
    </row>
    <row r="54" spans="1:19" s="272" customFormat="1" ht="39.75" customHeight="1">
      <c r="A54" s="417"/>
      <c r="B54" s="416" t="s">
        <v>225</v>
      </c>
      <c r="C54" s="405" t="s">
        <v>31</v>
      </c>
      <c r="D54" s="462">
        <v>185</v>
      </c>
      <c r="E54" s="462">
        <f>SUM(F54:Q54)</f>
        <v>185</v>
      </c>
      <c r="F54" s="467">
        <v>23</v>
      </c>
      <c r="G54" s="467">
        <v>24</v>
      </c>
      <c r="H54" s="467">
        <v>25</v>
      </c>
      <c r="I54" s="467">
        <v>27</v>
      </c>
      <c r="J54" s="467">
        <v>25</v>
      </c>
      <c r="K54" s="467">
        <v>13</v>
      </c>
      <c r="L54" s="467">
        <v>11</v>
      </c>
      <c r="M54" s="467">
        <v>5</v>
      </c>
      <c r="N54" s="467">
        <v>10</v>
      </c>
      <c r="O54" s="467">
        <v>10</v>
      </c>
      <c r="P54" s="467">
        <v>6</v>
      </c>
      <c r="Q54" s="468">
        <v>6</v>
      </c>
      <c r="R54" s="289">
        <f t="shared" si="2"/>
        <v>185</v>
      </c>
      <c r="S54" s="274"/>
    </row>
    <row r="55" spans="1:19" s="271" customFormat="1" ht="39.75" customHeight="1">
      <c r="A55" s="377" t="s">
        <v>105</v>
      </c>
      <c r="B55" s="378" t="s">
        <v>173</v>
      </c>
      <c r="C55" s="381" t="s">
        <v>31</v>
      </c>
      <c r="D55" s="469">
        <v>191</v>
      </c>
      <c r="E55" s="469">
        <f>SUM(F55:Q55)</f>
        <v>191.3</v>
      </c>
      <c r="F55" s="470">
        <f>36.8</f>
        <v>36.8</v>
      </c>
      <c r="G55" s="470">
        <f>2+1</f>
        <v>3</v>
      </c>
      <c r="H55" s="470">
        <v>1.5</v>
      </c>
      <c r="I55" s="470">
        <f>7.9</f>
        <v>7.9</v>
      </c>
      <c r="J55" s="470">
        <f>3+1</f>
        <v>4</v>
      </c>
      <c r="K55" s="470">
        <f>5.4+K56</f>
        <v>10.4</v>
      </c>
      <c r="L55" s="470">
        <f>5.2+2</f>
        <v>7.2</v>
      </c>
      <c r="M55" s="470"/>
      <c r="N55" s="470">
        <f>70+N56</f>
        <v>86</v>
      </c>
      <c r="O55" s="470">
        <f>22.7+5.5</f>
        <v>28.2</v>
      </c>
      <c r="P55" s="470">
        <f>1.8+P56</f>
        <v>6.3</v>
      </c>
      <c r="Q55" s="471"/>
      <c r="R55" s="220">
        <f t="shared" si="2"/>
        <v>191.3</v>
      </c>
      <c r="S55" s="270"/>
    </row>
    <row r="56" spans="1:19" s="272" customFormat="1" ht="39.75" customHeight="1">
      <c r="A56" s="417"/>
      <c r="B56" s="416" t="s">
        <v>225</v>
      </c>
      <c r="C56" s="405" t="s">
        <v>31</v>
      </c>
      <c r="D56" s="467">
        <v>35</v>
      </c>
      <c r="E56" s="472">
        <f>SUM(F56:Q56)</f>
        <v>35</v>
      </c>
      <c r="F56" s="473"/>
      <c r="G56" s="474">
        <v>1</v>
      </c>
      <c r="H56" s="475"/>
      <c r="I56" s="474"/>
      <c r="J56" s="474">
        <v>1</v>
      </c>
      <c r="K56" s="474">
        <v>5</v>
      </c>
      <c r="L56" s="474">
        <v>2</v>
      </c>
      <c r="M56" s="474"/>
      <c r="N56" s="474">
        <v>16</v>
      </c>
      <c r="O56" s="474">
        <v>5.5</v>
      </c>
      <c r="P56" s="474">
        <v>4.5</v>
      </c>
      <c r="Q56" s="476"/>
      <c r="R56" s="290">
        <f t="shared" si="2"/>
        <v>35</v>
      </c>
      <c r="S56" s="274"/>
    </row>
    <row r="57" spans="1:19" s="271" customFormat="1" ht="39.75" customHeight="1">
      <c r="A57" s="392">
        <v>5</v>
      </c>
      <c r="B57" s="378" t="s">
        <v>164</v>
      </c>
      <c r="C57" s="381" t="s">
        <v>31</v>
      </c>
      <c r="D57" s="423">
        <f>D58+D60</f>
        <v>938</v>
      </c>
      <c r="E57" s="424">
        <f>E58+E60</f>
        <v>954.5</v>
      </c>
      <c r="F57" s="424">
        <f aca="true" t="shared" si="22" ref="F57:Q57">F58+F60</f>
        <v>2.5</v>
      </c>
      <c r="G57" s="424">
        <f t="shared" si="22"/>
        <v>2.9</v>
      </c>
      <c r="H57" s="424">
        <f t="shared" si="22"/>
        <v>2.3</v>
      </c>
      <c r="I57" s="424">
        <f t="shared" si="22"/>
        <v>3.9</v>
      </c>
      <c r="J57" s="424">
        <f t="shared" si="22"/>
        <v>1</v>
      </c>
      <c r="K57" s="424">
        <f t="shared" si="22"/>
        <v>11.7</v>
      </c>
      <c r="L57" s="424">
        <f t="shared" si="22"/>
        <v>9.4</v>
      </c>
      <c r="M57" s="424">
        <f t="shared" si="22"/>
        <v>47.7</v>
      </c>
      <c r="N57" s="424">
        <f t="shared" si="22"/>
        <v>31.5</v>
      </c>
      <c r="O57" s="424">
        <f t="shared" si="22"/>
        <v>63.6</v>
      </c>
      <c r="P57" s="424">
        <f t="shared" si="22"/>
        <v>364</v>
      </c>
      <c r="Q57" s="425">
        <f t="shared" si="22"/>
        <v>414.2</v>
      </c>
      <c r="R57" s="220">
        <f t="shared" si="2"/>
        <v>954.7</v>
      </c>
      <c r="S57" s="270"/>
    </row>
    <row r="58" spans="1:19" s="271" customFormat="1" ht="39.75" customHeight="1">
      <c r="A58" s="377" t="s">
        <v>229</v>
      </c>
      <c r="B58" s="437" t="s">
        <v>226</v>
      </c>
      <c r="C58" s="381" t="s">
        <v>31</v>
      </c>
      <c r="D58" s="423">
        <v>31</v>
      </c>
      <c r="E58" s="477">
        <v>31</v>
      </c>
      <c r="F58" s="460"/>
      <c r="G58" s="478"/>
      <c r="H58" s="460"/>
      <c r="I58" s="460"/>
      <c r="J58" s="460"/>
      <c r="K58" s="460"/>
      <c r="L58" s="460"/>
      <c r="M58" s="424">
        <v>1</v>
      </c>
      <c r="N58" s="424">
        <f>1.3+1</f>
        <v>2.3</v>
      </c>
      <c r="O58" s="424">
        <f>2.5+1</f>
        <v>3.5</v>
      </c>
      <c r="P58" s="424">
        <f>3.2+3</f>
        <v>6.2</v>
      </c>
      <c r="Q58" s="425">
        <f>14.2+4</f>
        <v>18.2</v>
      </c>
      <c r="R58" s="220">
        <f t="shared" si="2"/>
        <v>31.2</v>
      </c>
      <c r="S58" s="270"/>
    </row>
    <row r="59" spans="1:19" s="271" customFormat="1" ht="39.75" customHeight="1">
      <c r="A59" s="377"/>
      <c r="B59" s="416" t="s">
        <v>225</v>
      </c>
      <c r="C59" s="405" t="s">
        <v>31</v>
      </c>
      <c r="D59" s="467">
        <v>10</v>
      </c>
      <c r="E59" s="479">
        <v>10</v>
      </c>
      <c r="F59" s="480"/>
      <c r="G59" s="480"/>
      <c r="H59" s="480"/>
      <c r="I59" s="480"/>
      <c r="J59" s="480"/>
      <c r="K59" s="480"/>
      <c r="L59" s="480"/>
      <c r="M59" s="481">
        <v>1</v>
      </c>
      <c r="N59" s="481">
        <v>1</v>
      </c>
      <c r="O59" s="481">
        <v>1</v>
      </c>
      <c r="P59" s="481">
        <v>3</v>
      </c>
      <c r="Q59" s="482">
        <v>4</v>
      </c>
      <c r="R59" s="220">
        <f t="shared" si="2"/>
        <v>10</v>
      </c>
      <c r="S59" s="270"/>
    </row>
    <row r="60" spans="1:19" s="271" customFormat="1" ht="39.75" customHeight="1">
      <c r="A60" s="444" t="s">
        <v>230</v>
      </c>
      <c r="B60" s="437" t="s">
        <v>164</v>
      </c>
      <c r="C60" s="381" t="s">
        <v>31</v>
      </c>
      <c r="D60" s="423">
        <v>907</v>
      </c>
      <c r="E60" s="423">
        <f>E62+E65</f>
        <v>923.5</v>
      </c>
      <c r="F60" s="424">
        <f aca="true" t="shared" si="23" ref="F60:Q60">F62+F65</f>
        <v>2.5</v>
      </c>
      <c r="G60" s="424">
        <f t="shared" si="23"/>
        <v>2.9</v>
      </c>
      <c r="H60" s="424">
        <f t="shared" si="23"/>
        <v>2.3</v>
      </c>
      <c r="I60" s="424">
        <f t="shared" si="23"/>
        <v>3.9</v>
      </c>
      <c r="J60" s="424">
        <f t="shared" si="23"/>
        <v>1</v>
      </c>
      <c r="K60" s="424">
        <f t="shared" si="23"/>
        <v>11.7</v>
      </c>
      <c r="L60" s="424">
        <f t="shared" si="23"/>
        <v>9.4</v>
      </c>
      <c r="M60" s="424">
        <f t="shared" si="23"/>
        <v>46.7</v>
      </c>
      <c r="N60" s="424">
        <f t="shared" si="23"/>
        <v>29.2</v>
      </c>
      <c r="O60" s="424">
        <f t="shared" si="23"/>
        <v>60.1</v>
      </c>
      <c r="P60" s="424">
        <f t="shared" si="23"/>
        <v>357.8</v>
      </c>
      <c r="Q60" s="425">
        <f t="shared" si="23"/>
        <v>396</v>
      </c>
      <c r="R60" s="220">
        <f t="shared" si="2"/>
        <v>923.5</v>
      </c>
      <c r="S60" s="278"/>
    </row>
    <row r="61" spans="1:19" s="272" customFormat="1" ht="39.75" customHeight="1">
      <c r="A61" s="417"/>
      <c r="B61" s="483" t="s">
        <v>300</v>
      </c>
      <c r="C61" s="381" t="s">
        <v>31</v>
      </c>
      <c r="D61" s="430">
        <v>300</v>
      </c>
      <c r="E61" s="430">
        <f>E64+E67</f>
        <v>300</v>
      </c>
      <c r="F61" s="431">
        <f aca="true" t="shared" si="24" ref="F61:Q61">F64+F67</f>
        <v>2.5</v>
      </c>
      <c r="G61" s="431">
        <f t="shared" si="24"/>
        <v>2.5</v>
      </c>
      <c r="H61" s="431">
        <f t="shared" si="24"/>
        <v>2.3</v>
      </c>
      <c r="I61" s="431">
        <f t="shared" si="24"/>
        <v>2.5</v>
      </c>
      <c r="J61" s="431">
        <f t="shared" si="24"/>
        <v>1</v>
      </c>
      <c r="K61" s="431">
        <f t="shared" si="24"/>
        <v>10</v>
      </c>
      <c r="L61" s="431">
        <f t="shared" si="24"/>
        <v>7</v>
      </c>
      <c r="M61" s="431">
        <f t="shared" si="24"/>
        <v>15.5</v>
      </c>
      <c r="N61" s="431">
        <f t="shared" si="24"/>
        <v>22.7</v>
      </c>
      <c r="O61" s="431">
        <f t="shared" si="24"/>
        <v>46.2</v>
      </c>
      <c r="P61" s="431">
        <f t="shared" si="24"/>
        <v>74.3</v>
      </c>
      <c r="Q61" s="484">
        <f t="shared" si="24"/>
        <v>113.5</v>
      </c>
      <c r="R61" s="220">
        <f t="shared" si="2"/>
        <v>300</v>
      </c>
      <c r="S61" s="274"/>
    </row>
    <row r="62" spans="1:19" s="273" customFormat="1" ht="39.75" customHeight="1">
      <c r="A62" s="485"/>
      <c r="B62" s="449" t="s">
        <v>301</v>
      </c>
      <c r="C62" s="389" t="s">
        <v>31</v>
      </c>
      <c r="D62" s="458" t="s">
        <v>9</v>
      </c>
      <c r="E62" s="418">
        <f>E63+E64</f>
        <v>889.8</v>
      </c>
      <c r="F62" s="398">
        <f aca="true" t="shared" si="25" ref="F62:Q62">F63+F64</f>
        <v>0</v>
      </c>
      <c r="G62" s="398">
        <f t="shared" si="25"/>
        <v>0</v>
      </c>
      <c r="H62" s="398">
        <f t="shared" si="25"/>
        <v>0</v>
      </c>
      <c r="I62" s="398">
        <f t="shared" si="25"/>
        <v>0</v>
      </c>
      <c r="J62" s="398">
        <f t="shared" si="25"/>
        <v>0</v>
      </c>
      <c r="K62" s="398">
        <f t="shared" si="25"/>
        <v>10</v>
      </c>
      <c r="L62" s="398">
        <f t="shared" si="25"/>
        <v>6.7</v>
      </c>
      <c r="M62" s="398">
        <f t="shared" si="25"/>
        <v>46.7</v>
      </c>
      <c r="N62" s="398">
        <f t="shared" si="25"/>
        <v>27.7</v>
      </c>
      <c r="O62" s="398">
        <f t="shared" si="25"/>
        <v>58.9</v>
      </c>
      <c r="P62" s="398">
        <f t="shared" si="25"/>
        <v>352.3</v>
      </c>
      <c r="Q62" s="399">
        <f t="shared" si="25"/>
        <v>387.5</v>
      </c>
      <c r="R62" s="220">
        <f t="shared" si="2"/>
        <v>889.8</v>
      </c>
      <c r="S62" s="275"/>
    </row>
    <row r="63" spans="1:19" s="273" customFormat="1" ht="39.75" customHeight="1">
      <c r="A63" s="485"/>
      <c r="B63" s="413" t="s">
        <v>302</v>
      </c>
      <c r="C63" s="389" t="s">
        <v>31</v>
      </c>
      <c r="D63" s="458" t="s">
        <v>9</v>
      </c>
      <c r="E63" s="467">
        <f>SUM(F63:Q63)</f>
        <v>609.8</v>
      </c>
      <c r="F63" s="474"/>
      <c r="G63" s="475"/>
      <c r="H63" s="474"/>
      <c r="I63" s="474"/>
      <c r="J63" s="474"/>
      <c r="K63" s="474">
        <v>1.5</v>
      </c>
      <c r="L63" s="474">
        <v>0.2</v>
      </c>
      <c r="M63" s="474">
        <v>31.2</v>
      </c>
      <c r="N63" s="474">
        <v>6.5</v>
      </c>
      <c r="O63" s="474">
        <v>13.9</v>
      </c>
      <c r="P63" s="474">
        <v>280</v>
      </c>
      <c r="Q63" s="476">
        <v>276.5</v>
      </c>
      <c r="R63" s="220">
        <f t="shared" si="2"/>
        <v>609.8</v>
      </c>
      <c r="S63" s="275"/>
    </row>
    <row r="64" spans="1:19" s="273" customFormat="1" ht="39.75" customHeight="1">
      <c r="A64" s="485"/>
      <c r="B64" s="413" t="s">
        <v>303</v>
      </c>
      <c r="C64" s="389" t="s">
        <v>31</v>
      </c>
      <c r="D64" s="458" t="s">
        <v>9</v>
      </c>
      <c r="E64" s="467">
        <f>SUM(F64:Q64)</f>
        <v>280</v>
      </c>
      <c r="F64" s="474"/>
      <c r="G64" s="475"/>
      <c r="H64" s="474"/>
      <c r="I64" s="474"/>
      <c r="J64" s="474"/>
      <c r="K64" s="474">
        <v>8.5</v>
      </c>
      <c r="L64" s="474">
        <v>6.5</v>
      </c>
      <c r="M64" s="474">
        <v>15.5</v>
      </c>
      <c r="N64" s="474">
        <v>21.2</v>
      </c>
      <c r="O64" s="474">
        <v>45</v>
      </c>
      <c r="P64" s="474">
        <v>72.3</v>
      </c>
      <c r="Q64" s="476">
        <v>111</v>
      </c>
      <c r="R64" s="220">
        <f t="shared" si="2"/>
        <v>280</v>
      </c>
      <c r="S64" s="275"/>
    </row>
    <row r="65" spans="1:19" s="268" customFormat="1" ht="39.75" customHeight="1">
      <c r="A65" s="403"/>
      <c r="B65" s="486" t="s">
        <v>304</v>
      </c>
      <c r="C65" s="389" t="s">
        <v>31</v>
      </c>
      <c r="D65" s="458" t="s">
        <v>9</v>
      </c>
      <c r="E65" s="398">
        <f>E66+E67</f>
        <v>33.7</v>
      </c>
      <c r="F65" s="398">
        <f aca="true" t="shared" si="26" ref="F65:Q65">F66+F67</f>
        <v>2.5</v>
      </c>
      <c r="G65" s="398">
        <f t="shared" si="26"/>
        <v>2.9</v>
      </c>
      <c r="H65" s="398">
        <f t="shared" si="26"/>
        <v>2.3</v>
      </c>
      <c r="I65" s="398">
        <f t="shared" si="26"/>
        <v>3.9</v>
      </c>
      <c r="J65" s="398">
        <f t="shared" si="26"/>
        <v>1</v>
      </c>
      <c r="K65" s="398">
        <f t="shared" si="26"/>
        <v>1.7</v>
      </c>
      <c r="L65" s="398">
        <f t="shared" si="26"/>
        <v>2.7</v>
      </c>
      <c r="M65" s="398">
        <f t="shared" si="26"/>
        <v>0</v>
      </c>
      <c r="N65" s="398">
        <f t="shared" si="26"/>
        <v>1.5</v>
      </c>
      <c r="O65" s="398">
        <f t="shared" si="26"/>
        <v>1.2</v>
      </c>
      <c r="P65" s="398">
        <f t="shared" si="26"/>
        <v>5.5</v>
      </c>
      <c r="Q65" s="399">
        <f t="shared" si="26"/>
        <v>8.5</v>
      </c>
      <c r="R65" s="220">
        <f t="shared" si="2"/>
        <v>33.7</v>
      </c>
      <c r="S65" s="275"/>
    </row>
    <row r="66" spans="1:22" s="272" customFormat="1" ht="39.75" customHeight="1">
      <c r="A66" s="487"/>
      <c r="B66" s="413" t="s">
        <v>302</v>
      </c>
      <c r="C66" s="405" t="s">
        <v>97</v>
      </c>
      <c r="D66" s="458" t="s">
        <v>9</v>
      </c>
      <c r="E66" s="473">
        <f>SUM(F66:Q66)</f>
        <v>13.7</v>
      </c>
      <c r="F66" s="473"/>
      <c r="G66" s="473">
        <v>0.4</v>
      </c>
      <c r="H66" s="473"/>
      <c r="I66" s="473">
        <v>1.4</v>
      </c>
      <c r="J66" s="474"/>
      <c r="K66" s="474">
        <v>0.2</v>
      </c>
      <c r="L66" s="474">
        <v>2.2</v>
      </c>
      <c r="M66" s="474"/>
      <c r="N66" s="474"/>
      <c r="O66" s="474"/>
      <c r="P66" s="474">
        <v>3.5</v>
      </c>
      <c r="Q66" s="476">
        <v>6</v>
      </c>
      <c r="R66" s="220">
        <f t="shared" si="2"/>
        <v>13.7</v>
      </c>
      <c r="S66" s="276"/>
      <c r="V66" s="274"/>
    </row>
    <row r="67" spans="1:19" s="272" customFormat="1" ht="39.75" customHeight="1">
      <c r="A67" s="487"/>
      <c r="B67" s="413" t="s">
        <v>303</v>
      </c>
      <c r="C67" s="405" t="s">
        <v>31</v>
      </c>
      <c r="D67" s="458" t="s">
        <v>9</v>
      </c>
      <c r="E67" s="473">
        <f>SUM(F67:Q67)</f>
        <v>20</v>
      </c>
      <c r="F67" s="474">
        <v>2.5</v>
      </c>
      <c r="G67" s="475">
        <v>2.5</v>
      </c>
      <c r="H67" s="474">
        <v>2.3</v>
      </c>
      <c r="I67" s="474">
        <v>2.5</v>
      </c>
      <c r="J67" s="474">
        <v>1</v>
      </c>
      <c r="K67" s="474">
        <v>1.5</v>
      </c>
      <c r="L67" s="474">
        <v>0.5</v>
      </c>
      <c r="M67" s="474"/>
      <c r="N67" s="474">
        <v>1.5</v>
      </c>
      <c r="O67" s="474">
        <v>1.2</v>
      </c>
      <c r="P67" s="474">
        <v>2</v>
      </c>
      <c r="Q67" s="476">
        <v>2.5</v>
      </c>
      <c r="R67" s="220">
        <f t="shared" si="2"/>
        <v>20</v>
      </c>
      <c r="S67" s="276"/>
    </row>
    <row r="68" spans="1:19" s="271" customFormat="1" ht="39.75" customHeight="1">
      <c r="A68" s="444" t="s">
        <v>57</v>
      </c>
      <c r="B68" s="378" t="s">
        <v>106</v>
      </c>
      <c r="C68" s="488"/>
      <c r="D68" s="460"/>
      <c r="E68" s="489"/>
      <c r="F68" s="489"/>
      <c r="G68" s="489"/>
      <c r="H68" s="489"/>
      <c r="I68" s="489"/>
      <c r="J68" s="460"/>
      <c r="K68" s="460"/>
      <c r="L68" s="460"/>
      <c r="M68" s="460"/>
      <c r="N68" s="460"/>
      <c r="O68" s="460"/>
      <c r="P68" s="460"/>
      <c r="Q68" s="380"/>
      <c r="R68" s="220">
        <f t="shared" si="2"/>
        <v>0</v>
      </c>
      <c r="S68" s="270"/>
    </row>
    <row r="69" spans="1:19" s="272" customFormat="1" ht="39.75" customHeight="1">
      <c r="A69" s="487"/>
      <c r="B69" s="378" t="s">
        <v>231</v>
      </c>
      <c r="C69" s="381" t="s">
        <v>50</v>
      </c>
      <c r="D69" s="438">
        <f>D70+D71+D72</f>
        <v>29600</v>
      </c>
      <c r="E69" s="438">
        <f>E70+E71+E72</f>
        <v>29600</v>
      </c>
      <c r="F69" s="438">
        <f>F70+F71+F72</f>
        <v>2461</v>
      </c>
      <c r="G69" s="438">
        <f aca="true" t="shared" si="27" ref="G69:Q69">G70+G71+G72</f>
        <v>3096</v>
      </c>
      <c r="H69" s="438">
        <f t="shared" si="27"/>
        <v>2167</v>
      </c>
      <c r="I69" s="438">
        <f t="shared" si="27"/>
        <v>4492</v>
      </c>
      <c r="J69" s="438">
        <f t="shared" si="27"/>
        <v>4211</v>
      </c>
      <c r="K69" s="438">
        <f t="shared" si="27"/>
        <v>2240</v>
      </c>
      <c r="L69" s="438">
        <f t="shared" si="27"/>
        <v>776</v>
      </c>
      <c r="M69" s="438">
        <f t="shared" si="27"/>
        <v>1928</v>
      </c>
      <c r="N69" s="438">
        <f t="shared" si="27"/>
        <v>3657</v>
      </c>
      <c r="O69" s="438">
        <f t="shared" si="27"/>
        <v>2108</v>
      </c>
      <c r="P69" s="438">
        <f t="shared" si="27"/>
        <v>1471</v>
      </c>
      <c r="Q69" s="490">
        <f t="shared" si="27"/>
        <v>993</v>
      </c>
      <c r="R69" s="220">
        <f t="shared" si="2"/>
        <v>29600</v>
      </c>
      <c r="S69" s="274"/>
    </row>
    <row r="70" spans="1:20" s="272" customFormat="1" ht="39.75" customHeight="1">
      <c r="A70" s="487"/>
      <c r="B70" s="388" t="s">
        <v>232</v>
      </c>
      <c r="C70" s="389" t="s">
        <v>50</v>
      </c>
      <c r="D70" s="406">
        <v>3600</v>
      </c>
      <c r="E70" s="400">
        <f>SUM(F70:Q70)</f>
        <v>3600</v>
      </c>
      <c r="F70" s="406">
        <v>65</v>
      </c>
      <c r="G70" s="491">
        <v>12</v>
      </c>
      <c r="H70" s="406">
        <f>45</f>
        <v>45</v>
      </c>
      <c r="I70" s="406">
        <v>18</v>
      </c>
      <c r="J70" s="406">
        <v>152</v>
      </c>
      <c r="K70" s="406">
        <f>862+130-20</f>
        <v>972</v>
      </c>
      <c r="L70" s="406">
        <f>114+15</f>
        <v>129</v>
      </c>
      <c r="M70" s="406">
        <f>783+50</f>
        <v>833</v>
      </c>
      <c r="N70" s="406">
        <f>521+30</f>
        <v>551</v>
      </c>
      <c r="O70" s="406">
        <f>337+20</f>
        <v>357</v>
      </c>
      <c r="P70" s="406">
        <f>138+15-15</f>
        <v>138</v>
      </c>
      <c r="Q70" s="410">
        <f>305+23</f>
        <v>328</v>
      </c>
      <c r="R70" s="220">
        <f t="shared" si="2"/>
        <v>3600</v>
      </c>
      <c r="S70" s="274"/>
      <c r="T70" s="274"/>
    </row>
    <row r="71" spans="1:20" s="271" customFormat="1" ht="39.75" customHeight="1">
      <c r="A71" s="377"/>
      <c r="B71" s="388" t="s">
        <v>233</v>
      </c>
      <c r="C71" s="389" t="s">
        <v>50</v>
      </c>
      <c r="D71" s="450">
        <v>11000</v>
      </c>
      <c r="E71" s="400">
        <f>SUM(F71:Q71)</f>
        <v>11000</v>
      </c>
      <c r="F71" s="450">
        <f>741+10</f>
        <v>751</v>
      </c>
      <c r="G71" s="450">
        <f>1084+6</f>
        <v>1090</v>
      </c>
      <c r="H71" s="450">
        <f>1027+10</f>
        <v>1037</v>
      </c>
      <c r="I71" s="450">
        <f>1087+12</f>
        <v>1099</v>
      </c>
      <c r="J71" s="450">
        <f>2038+10</f>
        <v>2048</v>
      </c>
      <c r="K71" s="450">
        <f>956+8</f>
        <v>964</v>
      </c>
      <c r="L71" s="450">
        <v>404</v>
      </c>
      <c r="M71" s="450">
        <v>435</v>
      </c>
      <c r="N71" s="450">
        <f>1576+5</f>
        <v>1581</v>
      </c>
      <c r="O71" s="450">
        <v>732</v>
      </c>
      <c r="P71" s="450">
        <v>540</v>
      </c>
      <c r="Q71" s="492">
        <v>319</v>
      </c>
      <c r="R71" s="220">
        <f t="shared" si="2"/>
        <v>11000</v>
      </c>
      <c r="S71" s="270"/>
      <c r="T71" s="270"/>
    </row>
    <row r="72" spans="1:20" s="273" customFormat="1" ht="39.75" customHeight="1">
      <c r="A72" s="427"/>
      <c r="B72" s="388" t="s">
        <v>234</v>
      </c>
      <c r="C72" s="389" t="s">
        <v>50</v>
      </c>
      <c r="D72" s="450">
        <v>15000</v>
      </c>
      <c r="E72" s="400">
        <f>SUM(F72:Q72)</f>
        <v>15000</v>
      </c>
      <c r="F72" s="450">
        <f>825+700+120</f>
        <v>1645</v>
      </c>
      <c r="G72" s="450">
        <f>1432+562</f>
        <v>1994</v>
      </c>
      <c r="H72" s="450">
        <f>654+431</f>
        <v>1085</v>
      </c>
      <c r="I72" s="450">
        <f>2858+517</f>
        <v>3375</v>
      </c>
      <c r="J72" s="450">
        <f>1261+750</f>
        <v>2011</v>
      </c>
      <c r="K72" s="450">
        <f>304</f>
        <v>304</v>
      </c>
      <c r="L72" s="450">
        <f>143+100</f>
        <v>243</v>
      </c>
      <c r="M72" s="450">
        <f>410+250</f>
        <v>660</v>
      </c>
      <c r="N72" s="450">
        <f>1025+500</f>
        <v>1525</v>
      </c>
      <c r="O72" s="450">
        <f>854+165</f>
        <v>1019</v>
      </c>
      <c r="P72" s="450">
        <f>743+50</f>
        <v>793</v>
      </c>
      <c r="Q72" s="492">
        <f>296+50</f>
        <v>346</v>
      </c>
      <c r="R72" s="220">
        <f t="shared" si="2"/>
        <v>15000</v>
      </c>
      <c r="S72" s="275"/>
      <c r="T72" s="275"/>
    </row>
    <row r="73" spans="1:19" s="271" customFormat="1" ht="39.75" customHeight="1">
      <c r="A73" s="377" t="s">
        <v>70</v>
      </c>
      <c r="B73" s="378" t="s">
        <v>107</v>
      </c>
      <c r="C73" s="381"/>
      <c r="D73" s="493"/>
      <c r="E73" s="494"/>
      <c r="F73" s="495"/>
      <c r="G73" s="495"/>
      <c r="H73" s="495"/>
      <c r="I73" s="495"/>
      <c r="J73" s="495"/>
      <c r="K73" s="495"/>
      <c r="L73" s="495"/>
      <c r="M73" s="495"/>
      <c r="N73" s="495"/>
      <c r="O73" s="495"/>
      <c r="P73" s="495"/>
      <c r="Q73" s="496"/>
      <c r="R73" s="220">
        <f t="shared" si="2"/>
        <v>0</v>
      </c>
      <c r="S73" s="270"/>
    </row>
    <row r="74" spans="1:19" s="268" customFormat="1" ht="39.75" customHeight="1">
      <c r="A74" s="387"/>
      <c r="B74" s="388" t="s">
        <v>108</v>
      </c>
      <c r="C74" s="389" t="s">
        <v>32</v>
      </c>
      <c r="D74" s="451">
        <v>68</v>
      </c>
      <c r="E74" s="451">
        <v>68.3</v>
      </c>
      <c r="F74" s="451">
        <f aca="true" t="shared" si="28" ref="F74:Q74">F76+F86</f>
        <v>9.235</v>
      </c>
      <c r="G74" s="451">
        <f t="shared" si="28"/>
        <v>9.010000000000002</v>
      </c>
      <c r="H74" s="451">
        <f t="shared" si="28"/>
        <v>9.1</v>
      </c>
      <c r="I74" s="451">
        <f t="shared" si="28"/>
        <v>3.579</v>
      </c>
      <c r="J74" s="451">
        <f t="shared" si="28"/>
        <v>4.73</v>
      </c>
      <c r="K74" s="451">
        <f t="shared" si="28"/>
        <v>4.59</v>
      </c>
      <c r="L74" s="451">
        <f t="shared" si="28"/>
        <v>1.84</v>
      </c>
      <c r="M74" s="451">
        <f t="shared" si="28"/>
        <v>12.440000000000001</v>
      </c>
      <c r="N74" s="451">
        <f t="shared" si="28"/>
        <v>5.0600000000000005</v>
      </c>
      <c r="O74" s="451">
        <f t="shared" si="28"/>
        <v>3.1</v>
      </c>
      <c r="P74" s="451">
        <f t="shared" si="28"/>
        <v>2.06</v>
      </c>
      <c r="Q74" s="452">
        <f t="shared" si="28"/>
        <v>1.7</v>
      </c>
      <c r="R74" s="220">
        <f t="shared" si="2"/>
        <v>66.444</v>
      </c>
      <c r="S74" s="269"/>
    </row>
    <row r="75" spans="1:19" s="271" customFormat="1" ht="39.75" customHeight="1">
      <c r="A75" s="392">
        <v>1</v>
      </c>
      <c r="B75" s="378" t="s">
        <v>109</v>
      </c>
      <c r="C75" s="381"/>
      <c r="D75" s="447"/>
      <c r="E75" s="447"/>
      <c r="F75" s="447"/>
      <c r="G75" s="447"/>
      <c r="H75" s="447"/>
      <c r="I75" s="447"/>
      <c r="J75" s="447"/>
      <c r="K75" s="424"/>
      <c r="L75" s="447"/>
      <c r="M75" s="447"/>
      <c r="N75" s="447"/>
      <c r="O75" s="447"/>
      <c r="P75" s="447"/>
      <c r="Q75" s="448"/>
      <c r="R75" s="220">
        <f aca="true" t="shared" si="29" ref="R75:R90">SUM(F75:Q75)</f>
        <v>0</v>
      </c>
      <c r="S75" s="270"/>
    </row>
    <row r="76" spans="1:19" s="271" customFormat="1" ht="39.75" customHeight="1">
      <c r="A76" s="377"/>
      <c r="B76" s="388" t="s">
        <v>110</v>
      </c>
      <c r="C76" s="389" t="s">
        <v>32</v>
      </c>
      <c r="D76" s="497">
        <f>D79+D82+D85</f>
        <v>54</v>
      </c>
      <c r="E76" s="497">
        <f aca="true" t="shared" si="30" ref="E76:Q76">E79+E82+E85</f>
        <v>54.300000000000004</v>
      </c>
      <c r="F76" s="497">
        <f t="shared" si="30"/>
        <v>7.235</v>
      </c>
      <c r="G76" s="497">
        <f t="shared" si="30"/>
        <v>8.510000000000002</v>
      </c>
      <c r="H76" s="497">
        <f t="shared" si="30"/>
        <v>8.4</v>
      </c>
      <c r="I76" s="497">
        <f t="shared" si="30"/>
        <v>2.079</v>
      </c>
      <c r="J76" s="497">
        <f t="shared" si="30"/>
        <v>2.73</v>
      </c>
      <c r="K76" s="497">
        <f t="shared" si="30"/>
        <v>3.39</v>
      </c>
      <c r="L76" s="497">
        <f t="shared" si="30"/>
        <v>1.04</v>
      </c>
      <c r="M76" s="497">
        <f t="shared" si="30"/>
        <v>11.14</v>
      </c>
      <c r="N76" s="497">
        <f t="shared" si="30"/>
        <v>3.06</v>
      </c>
      <c r="O76" s="497">
        <f t="shared" si="30"/>
        <v>2.1</v>
      </c>
      <c r="P76" s="497">
        <f t="shared" si="30"/>
        <v>1.56</v>
      </c>
      <c r="Q76" s="498">
        <f t="shared" si="30"/>
        <v>1.2</v>
      </c>
      <c r="R76" s="220">
        <f t="shared" si="29"/>
        <v>52.44400000000001</v>
      </c>
      <c r="S76" s="270"/>
    </row>
    <row r="77" spans="1:19" s="268" customFormat="1" ht="39.75" customHeight="1">
      <c r="A77" s="387" t="s">
        <v>98</v>
      </c>
      <c r="B77" s="388" t="s">
        <v>51</v>
      </c>
      <c r="C77" s="389" t="s">
        <v>97</v>
      </c>
      <c r="D77" s="408">
        <v>31</v>
      </c>
      <c r="E77" s="408">
        <f>SUM(F77:Q77)</f>
        <v>30.950000000000003</v>
      </c>
      <c r="F77" s="398">
        <v>2.95</v>
      </c>
      <c r="G77" s="398">
        <v>5.8</v>
      </c>
      <c r="H77" s="398">
        <v>6</v>
      </c>
      <c r="I77" s="398">
        <v>1.2</v>
      </c>
      <c r="J77" s="398">
        <v>1.6</v>
      </c>
      <c r="K77" s="398">
        <v>1.5</v>
      </c>
      <c r="L77" s="398">
        <v>0.8</v>
      </c>
      <c r="M77" s="398">
        <v>6.6</v>
      </c>
      <c r="N77" s="398">
        <v>0.7</v>
      </c>
      <c r="O77" s="398">
        <v>1.5</v>
      </c>
      <c r="P77" s="398">
        <v>1.3</v>
      </c>
      <c r="Q77" s="399">
        <v>1</v>
      </c>
      <c r="R77" s="220">
        <f t="shared" si="29"/>
        <v>30.950000000000003</v>
      </c>
      <c r="S77" s="269"/>
    </row>
    <row r="78" spans="1:19" s="268" customFormat="1" ht="39.75" customHeight="1">
      <c r="A78" s="387"/>
      <c r="B78" s="388" t="s">
        <v>37</v>
      </c>
      <c r="C78" s="389" t="s">
        <v>38</v>
      </c>
      <c r="D78" s="408">
        <f>(D79/D77)*10</f>
        <v>13.548387096774192</v>
      </c>
      <c r="E78" s="408">
        <f>(E79/E77)*10</f>
        <v>13.473344103392568</v>
      </c>
      <c r="F78" s="398">
        <v>14</v>
      </c>
      <c r="G78" s="398">
        <v>14</v>
      </c>
      <c r="H78" s="398">
        <v>14</v>
      </c>
      <c r="I78" s="398">
        <v>14</v>
      </c>
      <c r="J78" s="398">
        <v>13</v>
      </c>
      <c r="K78" s="398">
        <v>14</v>
      </c>
      <c r="L78" s="398">
        <v>13</v>
      </c>
      <c r="M78" s="398">
        <v>14</v>
      </c>
      <c r="N78" s="398">
        <v>14</v>
      </c>
      <c r="O78" s="398">
        <v>14</v>
      </c>
      <c r="P78" s="398">
        <v>12</v>
      </c>
      <c r="Q78" s="399">
        <v>12</v>
      </c>
      <c r="R78" s="220">
        <f t="shared" si="29"/>
        <v>162</v>
      </c>
      <c r="S78" s="269"/>
    </row>
    <row r="79" spans="1:19" s="268" customFormat="1" ht="39.75" customHeight="1">
      <c r="A79" s="387"/>
      <c r="B79" s="388" t="s">
        <v>39</v>
      </c>
      <c r="C79" s="389" t="s">
        <v>11</v>
      </c>
      <c r="D79" s="408">
        <v>42</v>
      </c>
      <c r="E79" s="426">
        <f>41.7</f>
        <v>41.7</v>
      </c>
      <c r="F79" s="398">
        <f>F78*F77/10</f>
        <v>4.130000000000001</v>
      </c>
      <c r="G79" s="398">
        <f aca="true" t="shared" si="31" ref="G79:Q79">G78*G77/10</f>
        <v>8.120000000000001</v>
      </c>
      <c r="H79" s="398">
        <f t="shared" si="31"/>
        <v>8.4</v>
      </c>
      <c r="I79" s="398">
        <f t="shared" si="31"/>
        <v>1.6800000000000002</v>
      </c>
      <c r="J79" s="398">
        <f t="shared" si="31"/>
        <v>2.08</v>
      </c>
      <c r="K79" s="398">
        <f t="shared" si="31"/>
        <v>2.1</v>
      </c>
      <c r="L79" s="398">
        <f t="shared" si="31"/>
        <v>1.04</v>
      </c>
      <c r="M79" s="398">
        <v>8.5</v>
      </c>
      <c r="N79" s="398">
        <f t="shared" si="31"/>
        <v>0.9799999999999999</v>
      </c>
      <c r="O79" s="398">
        <f t="shared" si="31"/>
        <v>2.1</v>
      </c>
      <c r="P79" s="398">
        <f t="shared" si="31"/>
        <v>1.56</v>
      </c>
      <c r="Q79" s="399">
        <f t="shared" si="31"/>
        <v>1.2</v>
      </c>
      <c r="R79" s="220">
        <f t="shared" si="29"/>
        <v>41.89000000000001</v>
      </c>
      <c r="S79" s="269"/>
    </row>
    <row r="80" spans="1:19" s="268" customFormat="1" ht="39.75" customHeight="1">
      <c r="A80" s="499" t="s">
        <v>100</v>
      </c>
      <c r="B80" s="500" t="s">
        <v>153</v>
      </c>
      <c r="C80" s="501" t="s">
        <v>97</v>
      </c>
      <c r="D80" s="398">
        <v>8</v>
      </c>
      <c r="E80" s="408">
        <f>SUM(F80:Q80)</f>
        <v>8</v>
      </c>
      <c r="F80" s="398">
        <v>2.3</v>
      </c>
      <c r="G80" s="398">
        <v>0.3</v>
      </c>
      <c r="H80" s="398"/>
      <c r="I80" s="398">
        <v>0.3</v>
      </c>
      <c r="J80" s="398">
        <v>0.5</v>
      </c>
      <c r="K80" s="398">
        <v>1</v>
      </c>
      <c r="L80" s="398"/>
      <c r="M80" s="398">
        <v>2</v>
      </c>
      <c r="N80" s="398">
        <v>1.6</v>
      </c>
      <c r="O80" s="398"/>
      <c r="P80" s="398"/>
      <c r="Q80" s="399"/>
      <c r="R80" s="220">
        <f t="shared" si="29"/>
        <v>8</v>
      </c>
      <c r="S80" s="269"/>
    </row>
    <row r="81" spans="1:19" s="268" customFormat="1" ht="39.75" customHeight="1">
      <c r="A81" s="502"/>
      <c r="B81" s="503" t="s">
        <v>37</v>
      </c>
      <c r="C81" s="501" t="s">
        <v>99</v>
      </c>
      <c r="D81" s="408">
        <f>(D82/D80)*10</f>
        <v>12.5</v>
      </c>
      <c r="E81" s="408">
        <v>13.3</v>
      </c>
      <c r="F81" s="408">
        <v>13.5</v>
      </c>
      <c r="G81" s="408">
        <v>13</v>
      </c>
      <c r="H81" s="408"/>
      <c r="I81" s="408">
        <v>13.3</v>
      </c>
      <c r="J81" s="408">
        <v>13</v>
      </c>
      <c r="K81" s="408">
        <v>12.9</v>
      </c>
      <c r="L81" s="408"/>
      <c r="M81" s="408">
        <v>13.2</v>
      </c>
      <c r="N81" s="408">
        <v>13</v>
      </c>
      <c r="O81" s="408"/>
      <c r="P81" s="408"/>
      <c r="Q81" s="409"/>
      <c r="R81" s="220">
        <f t="shared" si="29"/>
        <v>91.9</v>
      </c>
      <c r="S81" s="269"/>
    </row>
    <row r="82" spans="1:19" s="268" customFormat="1" ht="39.75" customHeight="1">
      <c r="A82" s="502"/>
      <c r="B82" s="503" t="s">
        <v>39</v>
      </c>
      <c r="C82" s="501" t="s">
        <v>32</v>
      </c>
      <c r="D82" s="504">
        <v>10</v>
      </c>
      <c r="E82" s="504">
        <v>10.6</v>
      </c>
      <c r="F82" s="408">
        <f>F81*F80/10</f>
        <v>3.1049999999999995</v>
      </c>
      <c r="G82" s="408">
        <f>(G80*G81)/10</f>
        <v>0.39</v>
      </c>
      <c r="H82" s="408"/>
      <c r="I82" s="408">
        <f aca="true" t="shared" si="32" ref="I82:N82">I81*I80/10</f>
        <v>0.399</v>
      </c>
      <c r="J82" s="408">
        <f t="shared" si="32"/>
        <v>0.65</v>
      </c>
      <c r="K82" s="408">
        <f t="shared" si="32"/>
        <v>1.29</v>
      </c>
      <c r="L82" s="408"/>
      <c r="M82" s="408">
        <f>M81*M80/10</f>
        <v>2.6399999999999997</v>
      </c>
      <c r="N82" s="408">
        <f t="shared" si="32"/>
        <v>2.08</v>
      </c>
      <c r="O82" s="408"/>
      <c r="P82" s="408"/>
      <c r="Q82" s="409"/>
      <c r="R82" s="220">
        <f t="shared" si="29"/>
        <v>10.554</v>
      </c>
      <c r="S82" s="277"/>
    </row>
    <row r="83" spans="1:19" s="268" customFormat="1" ht="39.75" customHeight="1">
      <c r="A83" s="499" t="s">
        <v>235</v>
      </c>
      <c r="B83" s="500" t="s">
        <v>167</v>
      </c>
      <c r="C83" s="501" t="s">
        <v>168</v>
      </c>
      <c r="D83" s="505">
        <v>5</v>
      </c>
      <c r="E83" s="505">
        <v>5</v>
      </c>
      <c r="F83" s="505">
        <v>2</v>
      </c>
      <c r="G83" s="505"/>
      <c r="H83" s="505"/>
      <c r="I83" s="505"/>
      <c r="J83" s="505"/>
      <c r="K83" s="505"/>
      <c r="L83" s="505"/>
      <c r="M83" s="505"/>
      <c r="N83" s="505"/>
      <c r="O83" s="505"/>
      <c r="P83" s="505">
        <v>3</v>
      </c>
      <c r="Q83" s="506"/>
      <c r="R83" s="220">
        <f t="shared" si="29"/>
        <v>5</v>
      </c>
      <c r="S83" s="269"/>
    </row>
    <row r="84" spans="1:19" s="268" customFormat="1" ht="39.75" customHeight="1">
      <c r="A84" s="502"/>
      <c r="B84" s="503" t="s">
        <v>37</v>
      </c>
      <c r="C84" s="501" t="s">
        <v>169</v>
      </c>
      <c r="D84" s="505">
        <v>4</v>
      </c>
      <c r="E84" s="505">
        <v>4</v>
      </c>
      <c r="F84" s="398"/>
      <c r="G84" s="507"/>
      <c r="H84" s="398"/>
      <c r="I84" s="398"/>
      <c r="J84" s="398"/>
      <c r="K84" s="507"/>
      <c r="L84" s="507"/>
      <c r="M84" s="398"/>
      <c r="N84" s="507"/>
      <c r="O84" s="507"/>
      <c r="P84" s="507"/>
      <c r="Q84" s="508"/>
      <c r="R84" s="220">
        <f t="shared" si="29"/>
        <v>0</v>
      </c>
      <c r="S84" s="269"/>
    </row>
    <row r="85" spans="1:19" s="268" customFormat="1" ht="39.75" customHeight="1">
      <c r="A85" s="502"/>
      <c r="B85" s="503" t="s">
        <v>39</v>
      </c>
      <c r="C85" s="501" t="s">
        <v>11</v>
      </c>
      <c r="D85" s="505">
        <v>2</v>
      </c>
      <c r="E85" s="505">
        <v>2</v>
      </c>
      <c r="F85" s="408"/>
      <c r="G85" s="408"/>
      <c r="H85" s="408"/>
      <c r="I85" s="408"/>
      <c r="J85" s="408"/>
      <c r="K85" s="408"/>
      <c r="L85" s="408"/>
      <c r="M85" s="408"/>
      <c r="N85" s="408"/>
      <c r="O85" s="408"/>
      <c r="P85" s="408"/>
      <c r="Q85" s="409"/>
      <c r="R85" s="220">
        <f t="shared" si="29"/>
        <v>0</v>
      </c>
      <c r="S85" s="269"/>
    </row>
    <row r="86" spans="1:19" s="271" customFormat="1" ht="39.75" customHeight="1">
      <c r="A86" s="392">
        <v>2</v>
      </c>
      <c r="B86" s="378" t="s">
        <v>111</v>
      </c>
      <c r="C86" s="381" t="s">
        <v>32</v>
      </c>
      <c r="D86" s="509">
        <v>14</v>
      </c>
      <c r="E86" s="509">
        <v>14</v>
      </c>
      <c r="F86" s="424">
        <v>2</v>
      </c>
      <c r="G86" s="424">
        <v>0.5</v>
      </c>
      <c r="H86" s="424">
        <v>0.7</v>
      </c>
      <c r="I86" s="424">
        <v>1.5</v>
      </c>
      <c r="J86" s="424">
        <v>2</v>
      </c>
      <c r="K86" s="424">
        <v>1.2</v>
      </c>
      <c r="L86" s="424">
        <v>0.8</v>
      </c>
      <c r="M86" s="424">
        <v>1.3</v>
      </c>
      <c r="N86" s="424">
        <v>2</v>
      </c>
      <c r="O86" s="424">
        <v>1</v>
      </c>
      <c r="P86" s="424">
        <v>0.5</v>
      </c>
      <c r="Q86" s="425">
        <v>0.5</v>
      </c>
      <c r="R86" s="220">
        <f t="shared" si="29"/>
        <v>14.000000000000002</v>
      </c>
      <c r="S86" s="279"/>
    </row>
    <row r="87" spans="1:19" s="271" customFormat="1" ht="39.75" customHeight="1">
      <c r="A87" s="377" t="s">
        <v>176</v>
      </c>
      <c r="B87" s="510" t="s">
        <v>175</v>
      </c>
      <c r="C87" s="381"/>
      <c r="D87" s="511"/>
      <c r="E87" s="511"/>
      <c r="F87" s="511"/>
      <c r="G87" s="511"/>
      <c r="H87" s="511"/>
      <c r="I87" s="511"/>
      <c r="J87" s="511"/>
      <c r="K87" s="511"/>
      <c r="L87" s="511"/>
      <c r="M87" s="511"/>
      <c r="N87" s="511"/>
      <c r="O87" s="511"/>
      <c r="P87" s="511"/>
      <c r="Q87" s="512"/>
      <c r="R87" s="220">
        <f t="shared" si="29"/>
        <v>0</v>
      </c>
      <c r="S87" s="270"/>
    </row>
    <row r="88" spans="1:19" s="268" customFormat="1" ht="39.75" customHeight="1">
      <c r="A88" s="403"/>
      <c r="B88" s="513" t="s">
        <v>238</v>
      </c>
      <c r="C88" s="514" t="s">
        <v>97</v>
      </c>
      <c r="D88" s="505">
        <f>D89+D90</f>
        <v>560</v>
      </c>
      <c r="E88" s="505">
        <f>E89+E90</f>
        <v>560</v>
      </c>
      <c r="F88" s="505"/>
      <c r="G88" s="505"/>
      <c r="H88" s="505"/>
      <c r="I88" s="505"/>
      <c r="J88" s="505"/>
      <c r="K88" s="505"/>
      <c r="L88" s="505"/>
      <c r="M88" s="505"/>
      <c r="N88" s="505"/>
      <c r="O88" s="505"/>
      <c r="P88" s="505"/>
      <c r="Q88" s="515"/>
      <c r="R88" s="220">
        <f t="shared" si="29"/>
        <v>0</v>
      </c>
      <c r="S88" s="269"/>
    </row>
    <row r="89" spans="1:19" s="268" customFormat="1" ht="39.75" customHeight="1">
      <c r="A89" s="516" t="s">
        <v>9</v>
      </c>
      <c r="B89" s="517" t="s">
        <v>308</v>
      </c>
      <c r="C89" s="514" t="s">
        <v>97</v>
      </c>
      <c r="D89" s="518">
        <v>300</v>
      </c>
      <c r="E89" s="518">
        <f>SUM(F89:Q89)</f>
        <v>300</v>
      </c>
      <c r="F89" s="518">
        <v>50</v>
      </c>
      <c r="G89" s="518">
        <v>20</v>
      </c>
      <c r="H89" s="518">
        <v>45</v>
      </c>
      <c r="I89" s="518">
        <v>50</v>
      </c>
      <c r="J89" s="518">
        <v>44</v>
      </c>
      <c r="K89" s="518">
        <v>30</v>
      </c>
      <c r="L89" s="518">
        <v>11</v>
      </c>
      <c r="M89" s="518"/>
      <c r="N89" s="518">
        <v>20</v>
      </c>
      <c r="O89" s="518">
        <v>8</v>
      </c>
      <c r="P89" s="518">
        <v>12</v>
      </c>
      <c r="Q89" s="519">
        <v>10</v>
      </c>
      <c r="R89" s="220">
        <f t="shared" si="29"/>
        <v>300</v>
      </c>
      <c r="S89" s="269"/>
    </row>
    <row r="90" spans="1:19" s="271" customFormat="1" ht="46.5" customHeight="1">
      <c r="A90" s="520" t="s">
        <v>9</v>
      </c>
      <c r="B90" s="521" t="s">
        <v>307</v>
      </c>
      <c r="C90" s="522" t="s">
        <v>97</v>
      </c>
      <c r="D90" s="523">
        <v>260</v>
      </c>
      <c r="E90" s="523">
        <v>260</v>
      </c>
      <c r="F90" s="523"/>
      <c r="G90" s="523"/>
      <c r="H90" s="523"/>
      <c r="I90" s="523"/>
      <c r="J90" s="523"/>
      <c r="K90" s="523"/>
      <c r="L90" s="523"/>
      <c r="M90" s="523"/>
      <c r="N90" s="523"/>
      <c r="O90" s="523"/>
      <c r="P90" s="523"/>
      <c r="Q90" s="524"/>
      <c r="R90" s="220">
        <f t="shared" si="29"/>
        <v>0</v>
      </c>
      <c r="S90" s="270"/>
    </row>
  </sheetData>
  <sheetProtection/>
  <mergeCells count="19">
    <mergeCell ref="O5:O6"/>
    <mergeCell ref="P5:P6"/>
    <mergeCell ref="Q5:Q6"/>
    <mergeCell ref="I5:I6"/>
    <mergeCell ref="J5:J6"/>
    <mergeCell ref="K5:K6"/>
    <mergeCell ref="L5:L6"/>
    <mergeCell ref="M5:M6"/>
    <mergeCell ref="N5:N6"/>
    <mergeCell ref="A2:Q2"/>
    <mergeCell ref="A1:Q1"/>
    <mergeCell ref="A3:Q3"/>
    <mergeCell ref="A5:A6"/>
    <mergeCell ref="B5:B6"/>
    <mergeCell ref="C5:C6"/>
    <mergeCell ref="D5:E5"/>
    <mergeCell ref="F5:F6"/>
    <mergeCell ref="G5:G6"/>
    <mergeCell ref="H5:H6"/>
  </mergeCells>
  <conditionalFormatting sqref="K15">
    <cfRule type="duplicateValues" priority="1" dxfId="1">
      <formula>AND(COUNTIF($K$15:$K$15,K15)&gt;1,NOT(ISBLANK(K15)))</formula>
    </cfRule>
  </conditionalFormatting>
  <printOptions/>
  <pageMargins left="0.28" right="0.2362204724409449" top="0.4724409448818898" bottom="0.4330708661417323" header="0.31496062992125984" footer="0.31496062992125984"/>
  <pageSetup horizontalDpi="600" verticalDpi="600" orientation="landscape" scale="56" r:id="rId3"/>
  <headerFooter>
    <oddFooter>&amp;CPage &amp;P</oddFooter>
    <firstFooter>&amp;L&amp;P</firstFooter>
  </headerFooter>
  <legacyDrawing r:id="rId2"/>
</worksheet>
</file>

<file path=xl/worksheets/sheet4.xml><?xml version="1.0" encoding="utf-8"?>
<worksheet xmlns="http://schemas.openxmlformats.org/spreadsheetml/2006/main" xmlns:r="http://schemas.openxmlformats.org/officeDocument/2006/relationships">
  <sheetPr>
    <tabColor rgb="FFFF0000"/>
  </sheetPr>
  <dimension ref="A1:M45"/>
  <sheetViews>
    <sheetView view="pageBreakPreview" zoomScale="80" zoomScaleSheetLayoutView="80" zoomScalePageLayoutView="0" workbookViewId="0" topLeftCell="A1">
      <pane ySplit="6" topLeftCell="A22" activePane="bottomLeft" state="frozen"/>
      <selection pane="topLeft" activeCell="A1" sqref="A1"/>
      <selection pane="bottomLeft" activeCell="A2" sqref="A2:E2"/>
    </sheetView>
  </sheetViews>
  <sheetFormatPr defaultColWidth="8.796875" defaultRowHeight="18.75"/>
  <cols>
    <col min="1" max="1" width="4.09765625" style="3" customWidth="1"/>
    <col min="2" max="2" width="44.8984375" style="3" customWidth="1"/>
    <col min="3" max="3" width="10.8984375" style="3" customWidth="1"/>
    <col min="4" max="4" width="18.3984375" style="3" customWidth="1"/>
    <col min="5" max="5" width="14.5" style="3" customWidth="1"/>
    <col min="6" max="16384" width="8.796875" style="3" customWidth="1"/>
  </cols>
  <sheetData>
    <row r="1" spans="1:5" ht="18">
      <c r="A1" s="853" t="s">
        <v>133</v>
      </c>
      <c r="B1" s="853"/>
      <c r="C1" s="853"/>
      <c r="D1" s="853"/>
      <c r="E1" s="853"/>
    </row>
    <row r="2" spans="1:5" ht="40.5" customHeight="1">
      <c r="A2" s="854" t="s">
        <v>240</v>
      </c>
      <c r="B2" s="854"/>
      <c r="C2" s="854"/>
      <c r="D2" s="854"/>
      <c r="E2" s="854"/>
    </row>
    <row r="3" spans="1:5" s="210" customFormat="1" ht="40.5" customHeight="1">
      <c r="A3" s="862" t="s">
        <v>299</v>
      </c>
      <c r="B3" s="862"/>
      <c r="C3" s="862"/>
      <c r="D3" s="862"/>
      <c r="E3" s="862"/>
    </row>
    <row r="4" spans="1:4" s="13" customFormat="1" ht="18">
      <c r="A4" s="855"/>
      <c r="B4" s="855"/>
      <c r="C4" s="855"/>
      <c r="D4" s="211"/>
    </row>
    <row r="5" spans="1:5" s="13" customFormat="1" ht="36" customHeight="1">
      <c r="A5" s="860" t="s">
        <v>0</v>
      </c>
      <c r="B5" s="858" t="s">
        <v>1</v>
      </c>
      <c r="C5" s="858" t="s">
        <v>82</v>
      </c>
      <c r="D5" s="856" t="s">
        <v>220</v>
      </c>
      <c r="E5" s="857"/>
    </row>
    <row r="6" spans="1:5" s="23" customFormat="1" ht="74.25" customHeight="1">
      <c r="A6" s="861"/>
      <c r="B6" s="859"/>
      <c r="C6" s="859"/>
      <c r="D6" s="342" t="s">
        <v>324</v>
      </c>
      <c r="E6" s="214" t="s">
        <v>290</v>
      </c>
    </row>
    <row r="7" spans="1:5" s="300" customFormat="1" ht="34.5" customHeight="1">
      <c r="A7" s="27" t="s">
        <v>3</v>
      </c>
      <c r="B7" s="33" t="s">
        <v>113</v>
      </c>
      <c r="C7" s="28"/>
      <c r="D7" s="215"/>
      <c r="E7" s="34"/>
    </row>
    <row r="8" spans="1:5" s="297" customFormat="1" ht="34.5" customHeight="1">
      <c r="A8" s="29">
        <v>1</v>
      </c>
      <c r="B8" s="35" t="s">
        <v>17</v>
      </c>
      <c r="C8" s="30" t="s">
        <v>18</v>
      </c>
      <c r="D8" s="305">
        <v>51320</v>
      </c>
      <c r="E8" s="301">
        <v>51320</v>
      </c>
    </row>
    <row r="9" spans="1:5" s="300" customFormat="1" ht="34.5" customHeight="1">
      <c r="A9" s="27" t="s">
        <v>16</v>
      </c>
      <c r="B9" s="33" t="s">
        <v>114</v>
      </c>
      <c r="C9" s="28"/>
      <c r="D9" s="308"/>
      <c r="E9" s="309"/>
    </row>
    <row r="10" spans="1:5" s="300" customFormat="1" ht="34.5" customHeight="1">
      <c r="A10" s="27">
        <v>1</v>
      </c>
      <c r="B10" s="36" t="s">
        <v>115</v>
      </c>
      <c r="C10" s="28" t="s">
        <v>116</v>
      </c>
      <c r="D10" s="299">
        <f>D11+D16</f>
        <v>14115</v>
      </c>
      <c r="E10" s="326">
        <f>E11+E16</f>
        <v>14575</v>
      </c>
    </row>
    <row r="11" spans="1:5" s="300" customFormat="1" ht="34.5" customHeight="1">
      <c r="A11" s="27" t="s">
        <v>35</v>
      </c>
      <c r="B11" s="33" t="s">
        <v>117</v>
      </c>
      <c r="C11" s="28" t="s">
        <v>116</v>
      </c>
      <c r="D11" s="299">
        <f>D12+D14</f>
        <v>3830</v>
      </c>
      <c r="E11" s="304">
        <f>E12+E14</f>
        <v>3850</v>
      </c>
    </row>
    <row r="12" spans="1:5" s="297" customFormat="1" ht="34.5" customHeight="1">
      <c r="A12" s="29"/>
      <c r="B12" s="35" t="s">
        <v>118</v>
      </c>
      <c r="C12" s="30" t="s">
        <v>116</v>
      </c>
      <c r="D12" s="310">
        <v>255</v>
      </c>
      <c r="E12" s="311">
        <v>255</v>
      </c>
    </row>
    <row r="13" spans="1:5" s="298" customFormat="1" ht="34.5" customHeight="1">
      <c r="A13" s="31"/>
      <c r="B13" s="37" t="s">
        <v>119</v>
      </c>
      <c r="C13" s="32" t="s">
        <v>116</v>
      </c>
      <c r="D13" s="312">
        <v>235</v>
      </c>
      <c r="E13" s="313">
        <v>235</v>
      </c>
    </row>
    <row r="14" spans="1:5" s="297" customFormat="1" ht="34.5" customHeight="1">
      <c r="A14" s="29"/>
      <c r="B14" s="35" t="s">
        <v>120</v>
      </c>
      <c r="C14" s="30" t="s">
        <v>116</v>
      </c>
      <c r="D14" s="305">
        <v>3575</v>
      </c>
      <c r="E14" s="301">
        <v>3595</v>
      </c>
    </row>
    <row r="15" spans="1:5" s="298" customFormat="1" ht="34.5" customHeight="1">
      <c r="A15" s="31"/>
      <c r="B15" s="37" t="s">
        <v>119</v>
      </c>
      <c r="C15" s="32" t="s">
        <v>116</v>
      </c>
      <c r="D15" s="314">
        <v>3575</v>
      </c>
      <c r="E15" s="315">
        <v>3595</v>
      </c>
    </row>
    <row r="16" spans="1:5" s="300" customFormat="1" ht="34.5" customHeight="1">
      <c r="A16" s="27" t="s">
        <v>43</v>
      </c>
      <c r="B16" s="33" t="s">
        <v>121</v>
      </c>
      <c r="C16" s="28" t="s">
        <v>116</v>
      </c>
      <c r="D16" s="299">
        <f>D17+D18+D19</f>
        <v>10285</v>
      </c>
      <c r="E16" s="326">
        <f>E17+E18+E19</f>
        <v>10725</v>
      </c>
    </row>
    <row r="17" spans="1:5" s="297" customFormat="1" ht="34.5" customHeight="1">
      <c r="A17" s="29"/>
      <c r="B17" s="35" t="s">
        <v>122</v>
      </c>
      <c r="C17" s="30" t="s">
        <v>116</v>
      </c>
      <c r="D17" s="305">
        <v>6425</v>
      </c>
      <c r="E17" s="301">
        <v>6425</v>
      </c>
    </row>
    <row r="18" spans="1:5" s="297" customFormat="1" ht="34.5" customHeight="1">
      <c r="A18" s="29"/>
      <c r="B18" s="35" t="s">
        <v>123</v>
      </c>
      <c r="C18" s="30" t="s">
        <v>116</v>
      </c>
      <c r="D18" s="305">
        <v>3800</v>
      </c>
      <c r="E18" s="301">
        <v>4240</v>
      </c>
    </row>
    <row r="19" spans="1:5" s="297" customFormat="1" ht="34.5" customHeight="1">
      <c r="A19" s="29"/>
      <c r="B19" s="302" t="s">
        <v>311</v>
      </c>
      <c r="C19" s="30" t="s">
        <v>116</v>
      </c>
      <c r="D19" s="305">
        <v>60</v>
      </c>
      <c r="E19" s="301">
        <v>60</v>
      </c>
    </row>
    <row r="20" spans="1:5" s="300" customFormat="1" ht="34.5" customHeight="1">
      <c r="A20" s="27">
        <v>2</v>
      </c>
      <c r="B20" s="33" t="s">
        <v>25</v>
      </c>
      <c r="C20" s="28" t="s">
        <v>116</v>
      </c>
      <c r="D20" s="299">
        <f>D21+D26+D30</f>
        <v>15185</v>
      </c>
      <c r="E20" s="326">
        <f>E21+E26+E30</f>
        <v>15691</v>
      </c>
    </row>
    <row r="21" spans="1:5" s="321" customFormat="1" ht="34.5" customHeight="1">
      <c r="A21" s="27" t="s">
        <v>35</v>
      </c>
      <c r="B21" s="33" t="s">
        <v>117</v>
      </c>
      <c r="C21" s="28" t="s">
        <v>116</v>
      </c>
      <c r="D21" s="303">
        <f>D22+D24</f>
        <v>3830</v>
      </c>
      <c r="E21" s="304">
        <f>E22+E24</f>
        <v>3850</v>
      </c>
    </row>
    <row r="22" spans="1:5" s="297" customFormat="1" ht="34.5" customHeight="1">
      <c r="A22" s="29"/>
      <c r="B22" s="35" t="s">
        <v>118</v>
      </c>
      <c r="C22" s="30" t="s">
        <v>116</v>
      </c>
      <c r="D22" s="305">
        <v>255</v>
      </c>
      <c r="E22" s="301">
        <v>255</v>
      </c>
    </row>
    <row r="23" spans="1:5" s="322" customFormat="1" ht="34.5" customHeight="1">
      <c r="A23" s="31"/>
      <c r="B23" s="37" t="s">
        <v>119</v>
      </c>
      <c r="C23" s="32" t="s">
        <v>116</v>
      </c>
      <c r="D23" s="306">
        <v>235</v>
      </c>
      <c r="E23" s="307">
        <v>235</v>
      </c>
    </row>
    <row r="24" spans="1:13" s="297" customFormat="1" ht="34.5" customHeight="1">
      <c r="A24" s="29"/>
      <c r="B24" s="35" t="s">
        <v>120</v>
      </c>
      <c r="C24" s="30" t="s">
        <v>116</v>
      </c>
      <c r="D24" s="305">
        <v>3575</v>
      </c>
      <c r="E24" s="301">
        <v>3595</v>
      </c>
      <c r="M24" s="297">
        <f>5/6*100</f>
        <v>83.33333333333334</v>
      </c>
    </row>
    <row r="25" spans="1:5" s="322" customFormat="1" ht="34.5" customHeight="1">
      <c r="A25" s="31"/>
      <c r="B25" s="37" t="s">
        <v>119</v>
      </c>
      <c r="C25" s="32" t="s">
        <v>116</v>
      </c>
      <c r="D25" s="306">
        <v>3575</v>
      </c>
      <c r="E25" s="307">
        <v>3595</v>
      </c>
    </row>
    <row r="26" spans="1:5" s="300" customFormat="1" ht="34.5" customHeight="1">
      <c r="A26" s="27" t="s">
        <v>43</v>
      </c>
      <c r="B26" s="33" t="s">
        <v>121</v>
      </c>
      <c r="C26" s="28" t="s">
        <v>116</v>
      </c>
      <c r="D26" s="299">
        <f>D27+D28+D29</f>
        <v>11295</v>
      </c>
      <c r="E26" s="304">
        <f>E27+E28+E29</f>
        <v>11781</v>
      </c>
    </row>
    <row r="27" spans="1:5" s="297" customFormat="1" ht="34.5" customHeight="1">
      <c r="A27" s="29"/>
      <c r="B27" s="35" t="s">
        <v>122</v>
      </c>
      <c r="C27" s="30" t="s">
        <v>116</v>
      </c>
      <c r="D27" s="305">
        <v>6425</v>
      </c>
      <c r="E27" s="301">
        <v>6425</v>
      </c>
    </row>
    <row r="28" spans="1:5" s="297" customFormat="1" ht="34.5" customHeight="1">
      <c r="A28" s="29"/>
      <c r="B28" s="35" t="s">
        <v>123</v>
      </c>
      <c r="C28" s="30" t="s">
        <v>116</v>
      </c>
      <c r="D28" s="316">
        <v>3870</v>
      </c>
      <c r="E28" s="70">
        <v>4240</v>
      </c>
    </row>
    <row r="29" spans="1:5" s="297" customFormat="1" ht="34.5" customHeight="1">
      <c r="A29" s="29"/>
      <c r="B29" s="35" t="s">
        <v>125</v>
      </c>
      <c r="C29" s="30" t="s">
        <v>116</v>
      </c>
      <c r="D29" s="316">
        <v>1000</v>
      </c>
      <c r="E29" s="70">
        <f>506+460+150</f>
        <v>1116</v>
      </c>
    </row>
    <row r="30" spans="1:5" s="321" customFormat="1" ht="34.5" customHeight="1">
      <c r="A30" s="27" t="s">
        <v>49</v>
      </c>
      <c r="B30" s="33" t="s">
        <v>124</v>
      </c>
      <c r="C30" s="28" t="s">
        <v>116</v>
      </c>
      <c r="D30" s="317">
        <f>D31+D32</f>
        <v>60</v>
      </c>
      <c r="E30" s="212">
        <f>E31+E32</f>
        <v>60</v>
      </c>
    </row>
    <row r="31" spans="1:5" s="297" customFormat="1" ht="34.5" customHeight="1">
      <c r="A31" s="29"/>
      <c r="B31" s="35" t="s">
        <v>123</v>
      </c>
      <c r="C31" s="30" t="s">
        <v>116</v>
      </c>
      <c r="D31" s="316">
        <v>0</v>
      </c>
      <c r="E31" s="70">
        <v>0</v>
      </c>
    </row>
    <row r="32" spans="1:5" s="297" customFormat="1" ht="34.5" customHeight="1">
      <c r="A32" s="29"/>
      <c r="B32" s="35" t="s">
        <v>125</v>
      </c>
      <c r="C32" s="30" t="s">
        <v>116</v>
      </c>
      <c r="D32" s="316">
        <v>60</v>
      </c>
      <c r="E32" s="70">
        <v>60</v>
      </c>
    </row>
    <row r="33" spans="1:5" s="300" customFormat="1" ht="34.5" customHeight="1">
      <c r="A33" s="27" t="s">
        <v>26</v>
      </c>
      <c r="B33" s="33" t="s">
        <v>126</v>
      </c>
      <c r="C33" s="28"/>
      <c r="D33" s="318"/>
      <c r="E33" s="69"/>
    </row>
    <row r="34" spans="1:5" s="297" customFormat="1" ht="34.5" customHeight="1">
      <c r="A34" s="29"/>
      <c r="B34" s="38" t="s">
        <v>127</v>
      </c>
      <c r="C34" s="30" t="s">
        <v>55</v>
      </c>
      <c r="D34" s="319">
        <v>12</v>
      </c>
      <c r="E34" s="213">
        <v>12</v>
      </c>
    </row>
    <row r="35" spans="1:5" s="323" customFormat="1" ht="34.5" customHeight="1">
      <c r="A35" s="27" t="s">
        <v>128</v>
      </c>
      <c r="B35" s="33" t="s">
        <v>154</v>
      </c>
      <c r="C35" s="28"/>
      <c r="D35" s="85"/>
      <c r="E35" s="71"/>
    </row>
    <row r="36" spans="1:5" s="324" customFormat="1" ht="34.5" customHeight="1">
      <c r="A36" s="29"/>
      <c r="B36" s="35" t="s">
        <v>155</v>
      </c>
      <c r="C36" s="30" t="s">
        <v>156</v>
      </c>
      <c r="D36" s="320">
        <v>185</v>
      </c>
      <c r="E36" s="72">
        <v>195</v>
      </c>
    </row>
    <row r="37" spans="1:5" s="325" customFormat="1" ht="34.5" customHeight="1">
      <c r="A37" s="31"/>
      <c r="B37" s="37" t="s">
        <v>129</v>
      </c>
      <c r="C37" s="32"/>
      <c r="D37" s="105"/>
      <c r="E37" s="73"/>
    </row>
    <row r="38" spans="1:5" s="325" customFormat="1" ht="34.5" customHeight="1">
      <c r="A38" s="31"/>
      <c r="B38" s="37" t="s">
        <v>130</v>
      </c>
      <c r="C38" s="30" t="s">
        <v>156</v>
      </c>
      <c r="D38" s="105">
        <v>120</v>
      </c>
      <c r="E38" s="73">
        <v>130</v>
      </c>
    </row>
    <row r="39" spans="1:5" s="325" customFormat="1" ht="34.5" customHeight="1">
      <c r="A39" s="31"/>
      <c r="B39" s="37" t="s">
        <v>131</v>
      </c>
      <c r="C39" s="30" t="s">
        <v>156</v>
      </c>
      <c r="D39" s="105">
        <v>10</v>
      </c>
      <c r="E39" s="73">
        <v>10</v>
      </c>
    </row>
    <row r="40" spans="1:5" s="325" customFormat="1" ht="34.5" customHeight="1">
      <c r="A40" s="31"/>
      <c r="B40" s="37" t="s">
        <v>132</v>
      </c>
      <c r="C40" s="30" t="s">
        <v>156</v>
      </c>
      <c r="D40" s="105">
        <v>55</v>
      </c>
      <c r="E40" s="73">
        <v>55</v>
      </c>
    </row>
    <row r="41" spans="1:5" s="297" customFormat="1" ht="34.5" customHeight="1">
      <c r="A41" s="327" t="s">
        <v>312</v>
      </c>
      <c r="B41" s="328" t="s">
        <v>313</v>
      </c>
      <c r="C41" s="329"/>
      <c r="D41" s="296"/>
      <c r="E41" s="330"/>
    </row>
    <row r="42" spans="1:5" s="297" customFormat="1" ht="34.5" customHeight="1">
      <c r="A42" s="331">
        <v>1</v>
      </c>
      <c r="B42" s="332" t="s">
        <v>314</v>
      </c>
      <c r="C42" s="333" t="s">
        <v>8</v>
      </c>
      <c r="D42" s="310">
        <v>90.8</v>
      </c>
      <c r="E42" s="340">
        <v>90.8</v>
      </c>
    </row>
    <row r="43" spans="1:5" s="297" customFormat="1" ht="34.5" customHeight="1">
      <c r="A43" s="331">
        <v>2</v>
      </c>
      <c r="B43" s="332" t="s">
        <v>315</v>
      </c>
      <c r="C43" s="333" t="s">
        <v>8</v>
      </c>
      <c r="D43" s="310">
        <v>15.64</v>
      </c>
      <c r="E43" s="340">
        <v>15.64</v>
      </c>
    </row>
    <row r="44" spans="1:5" s="297" customFormat="1" ht="34.5" customHeight="1">
      <c r="A44" s="334"/>
      <c r="B44" s="335" t="s">
        <v>316</v>
      </c>
      <c r="C44" s="333" t="s">
        <v>8</v>
      </c>
      <c r="D44" s="310">
        <v>7.09</v>
      </c>
      <c r="E44" s="340">
        <v>7.09</v>
      </c>
    </row>
    <row r="45" spans="1:5" s="297" customFormat="1" ht="34.5" customHeight="1">
      <c r="A45" s="336">
        <v>3</v>
      </c>
      <c r="B45" s="337" t="s">
        <v>317</v>
      </c>
      <c r="C45" s="338" t="s">
        <v>8</v>
      </c>
      <c r="D45" s="339">
        <v>6.46</v>
      </c>
      <c r="E45" s="341">
        <v>6.5</v>
      </c>
    </row>
  </sheetData>
  <sheetProtection/>
  <mergeCells count="8">
    <mergeCell ref="A1:E1"/>
    <mergeCell ref="A2:E2"/>
    <mergeCell ref="A4:C4"/>
    <mergeCell ref="D5:E5"/>
    <mergeCell ref="C5:C6"/>
    <mergeCell ref="B5:B6"/>
    <mergeCell ref="A5:A6"/>
    <mergeCell ref="A3:E3"/>
  </mergeCells>
  <printOptions/>
  <pageMargins left="0.3937007874015748" right="0.2755905511811024" top="0.4724409448818898" bottom="0.45" header="0.31496062992125984" footer="0.4"/>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F0000"/>
  </sheetPr>
  <dimension ref="A1:Q21"/>
  <sheetViews>
    <sheetView zoomScalePageLayoutView="0" workbookViewId="0" topLeftCell="A1">
      <selection activeCell="F11" sqref="F11"/>
    </sheetView>
  </sheetViews>
  <sheetFormatPr defaultColWidth="8.796875" defaultRowHeight="18.75"/>
  <cols>
    <col min="1" max="1" width="20.8984375" style="8" customWidth="1"/>
    <col min="2" max="2" width="9.09765625" style="8" customWidth="1"/>
    <col min="3" max="3" width="6.09765625" style="8" customWidth="1"/>
    <col min="4" max="4" width="6.19921875" style="8" customWidth="1"/>
    <col min="5" max="5" width="6.69921875" style="8" customWidth="1"/>
    <col min="6" max="6" width="6.19921875" style="8" customWidth="1"/>
    <col min="7" max="7" width="6.09765625" style="8" customWidth="1"/>
    <col min="8" max="8" width="7.69921875" style="8" customWidth="1"/>
    <col min="9" max="9" width="6.09765625" style="8" customWidth="1"/>
    <col min="10" max="10" width="5.8984375" style="8" customWidth="1"/>
    <col min="11" max="11" width="6.8984375" style="8" customWidth="1"/>
    <col min="12" max="12" width="6.19921875" style="8" customWidth="1"/>
    <col min="13" max="13" width="7.19921875" style="8" customWidth="1"/>
    <col min="14" max="14" width="7.296875" style="8" customWidth="1"/>
    <col min="15" max="15" width="9.09765625" style="8" bestFit="1" customWidth="1"/>
    <col min="16" max="16" width="9.19921875" style="8" bestFit="1" customWidth="1"/>
    <col min="17" max="16384" width="8.796875" style="8" customWidth="1"/>
  </cols>
  <sheetData>
    <row r="1" spans="1:14" ht="18.75">
      <c r="A1" s="868" t="s">
        <v>291</v>
      </c>
      <c r="B1" s="868"/>
      <c r="C1" s="868"/>
      <c r="D1" s="868"/>
      <c r="E1" s="868"/>
      <c r="F1" s="868"/>
      <c r="G1" s="868"/>
      <c r="H1" s="868"/>
      <c r="I1" s="868"/>
      <c r="J1" s="868"/>
      <c r="K1" s="868"/>
      <c r="L1" s="868"/>
      <c r="M1" s="868"/>
      <c r="N1" s="868"/>
    </row>
    <row r="2" spans="1:14" ht="18.75">
      <c r="A2" s="869" t="s">
        <v>241</v>
      </c>
      <c r="B2" s="869"/>
      <c r="C2" s="869"/>
      <c r="D2" s="869"/>
      <c r="E2" s="869"/>
      <c r="F2" s="869"/>
      <c r="G2" s="869"/>
      <c r="H2" s="869"/>
      <c r="I2" s="869"/>
      <c r="J2" s="869"/>
      <c r="K2" s="869"/>
      <c r="L2" s="869"/>
      <c r="M2" s="869"/>
      <c r="N2" s="869"/>
    </row>
    <row r="3" spans="1:17" s="14" customFormat="1" ht="18.75">
      <c r="A3" s="846" t="s">
        <v>299</v>
      </c>
      <c r="B3" s="846"/>
      <c r="C3" s="846"/>
      <c r="D3" s="846"/>
      <c r="E3" s="846"/>
      <c r="F3" s="846"/>
      <c r="G3" s="846"/>
      <c r="H3" s="846"/>
      <c r="I3" s="846"/>
      <c r="J3" s="846"/>
      <c r="K3" s="846"/>
      <c r="L3" s="846"/>
      <c r="M3" s="846"/>
      <c r="N3" s="846"/>
      <c r="O3" s="24"/>
      <c r="P3" s="24"/>
      <c r="Q3" s="24"/>
    </row>
    <row r="4" spans="12:14" s="15" customFormat="1" ht="16.5">
      <c r="L4" s="870" t="s">
        <v>134</v>
      </c>
      <c r="M4" s="870"/>
      <c r="N4" s="870"/>
    </row>
    <row r="5" spans="1:14" ht="31.5" customHeight="1">
      <c r="A5" s="863" t="s">
        <v>1</v>
      </c>
      <c r="B5" s="865" t="s">
        <v>220</v>
      </c>
      <c r="C5" s="865" t="s">
        <v>135</v>
      </c>
      <c r="D5" s="865"/>
      <c r="E5" s="865"/>
      <c r="F5" s="865"/>
      <c r="G5" s="865"/>
      <c r="H5" s="865"/>
      <c r="I5" s="865"/>
      <c r="J5" s="865"/>
      <c r="K5" s="865"/>
      <c r="L5" s="865"/>
      <c r="M5" s="865"/>
      <c r="N5" s="867"/>
    </row>
    <row r="6" spans="1:14" ht="39.75" customHeight="1">
      <c r="A6" s="864"/>
      <c r="B6" s="866"/>
      <c r="C6" s="26" t="s">
        <v>83</v>
      </c>
      <c r="D6" s="26" t="s">
        <v>84</v>
      </c>
      <c r="E6" s="26" t="s">
        <v>85</v>
      </c>
      <c r="F6" s="26" t="s">
        <v>86</v>
      </c>
      <c r="G6" s="26" t="s">
        <v>87</v>
      </c>
      <c r="H6" s="26" t="s">
        <v>88</v>
      </c>
      <c r="I6" s="26" t="s">
        <v>89</v>
      </c>
      <c r="J6" s="26" t="s">
        <v>136</v>
      </c>
      <c r="K6" s="26" t="s">
        <v>90</v>
      </c>
      <c r="L6" s="26" t="s">
        <v>91</v>
      </c>
      <c r="M6" s="26" t="s">
        <v>92</v>
      </c>
      <c r="N6" s="39" t="s">
        <v>93</v>
      </c>
    </row>
    <row r="7" spans="1:14" ht="33" customHeight="1">
      <c r="A7" s="40" t="s">
        <v>137</v>
      </c>
      <c r="B7" s="74">
        <v>50865</v>
      </c>
      <c r="C7" s="74">
        <v>6234</v>
      </c>
      <c r="D7" s="74">
        <v>6757</v>
      </c>
      <c r="E7" s="74">
        <v>4617</v>
      </c>
      <c r="F7" s="74">
        <v>7179</v>
      </c>
      <c r="G7" s="74">
        <f>9085</f>
        <v>9085</v>
      </c>
      <c r="H7" s="74">
        <v>2338</v>
      </c>
      <c r="I7" s="74">
        <v>1312</v>
      </c>
      <c r="J7" s="74">
        <v>1465</v>
      </c>
      <c r="K7" s="74">
        <v>3863</v>
      </c>
      <c r="L7" s="74">
        <v>1937</v>
      </c>
      <c r="M7" s="74">
        <v>3318</v>
      </c>
      <c r="N7" s="75">
        <v>2729</v>
      </c>
    </row>
    <row r="8" spans="1:14" ht="33" customHeight="1">
      <c r="A8" s="40" t="s">
        <v>138</v>
      </c>
      <c r="B8" s="74"/>
      <c r="C8" s="74"/>
      <c r="D8" s="74"/>
      <c r="E8" s="74"/>
      <c r="F8" s="74"/>
      <c r="G8" s="74"/>
      <c r="H8" s="74"/>
      <c r="I8" s="74"/>
      <c r="J8" s="74"/>
      <c r="K8" s="74"/>
      <c r="L8" s="74"/>
      <c r="M8" s="74"/>
      <c r="N8" s="75"/>
    </row>
    <row r="9" spans="1:16" ht="33" customHeight="1">
      <c r="A9" s="41" t="s">
        <v>139</v>
      </c>
      <c r="B9" s="74"/>
      <c r="C9" s="74"/>
      <c r="D9" s="74"/>
      <c r="E9" s="74"/>
      <c r="F9" s="74"/>
      <c r="G9" s="74"/>
      <c r="H9" s="74"/>
      <c r="I9" s="74"/>
      <c r="J9" s="74"/>
      <c r="K9" s="74"/>
      <c r="L9" s="74"/>
      <c r="M9" s="74"/>
      <c r="N9" s="75"/>
      <c r="P9" s="9"/>
    </row>
    <row r="10" spans="1:14" ht="33" customHeight="1">
      <c r="A10" s="41" t="s">
        <v>140</v>
      </c>
      <c r="B10" s="74"/>
      <c r="C10" s="74"/>
      <c r="D10" s="74"/>
      <c r="E10" s="74"/>
      <c r="F10" s="74"/>
      <c r="G10" s="74"/>
      <c r="H10" s="74"/>
      <c r="I10" s="74"/>
      <c r="J10" s="74"/>
      <c r="K10" s="74"/>
      <c r="L10" s="74"/>
      <c r="M10" s="74"/>
      <c r="N10" s="75"/>
    </row>
    <row r="11" spans="1:14" ht="33" customHeight="1">
      <c r="A11" s="40" t="s">
        <v>141</v>
      </c>
      <c r="B11" s="74">
        <v>51775</v>
      </c>
      <c r="C11" s="74">
        <v>6280</v>
      </c>
      <c r="D11" s="74">
        <v>6818</v>
      </c>
      <c r="E11" s="74">
        <v>4670</v>
      </c>
      <c r="F11" s="74">
        <v>7230</v>
      </c>
      <c r="G11" s="74">
        <v>9143</v>
      </c>
      <c r="H11" s="74">
        <v>2380</v>
      </c>
      <c r="I11" s="74">
        <v>1363</v>
      </c>
      <c r="J11" s="74">
        <v>1526</v>
      </c>
      <c r="K11" s="74">
        <v>3918</v>
      </c>
      <c r="L11" s="74">
        <v>1996</v>
      </c>
      <c r="M11" s="74">
        <v>3371</v>
      </c>
      <c r="N11" s="75">
        <v>2788</v>
      </c>
    </row>
    <row r="12" spans="1:14" ht="33" customHeight="1">
      <c r="A12" s="40" t="s">
        <v>142</v>
      </c>
      <c r="B12" s="74">
        <f>SUM(C12:N12)</f>
        <v>51320</v>
      </c>
      <c r="C12" s="74">
        <v>6330</v>
      </c>
      <c r="D12" s="74">
        <v>6877</v>
      </c>
      <c r="E12" s="74">
        <v>4699</v>
      </c>
      <c r="F12" s="74">
        <v>7185</v>
      </c>
      <c r="G12" s="74">
        <v>9183</v>
      </c>
      <c r="H12" s="74">
        <v>2268</v>
      </c>
      <c r="I12" s="74">
        <v>1322</v>
      </c>
      <c r="J12" s="74">
        <v>1475</v>
      </c>
      <c r="K12" s="74">
        <v>3906</v>
      </c>
      <c r="L12" s="74">
        <v>1962</v>
      </c>
      <c r="M12" s="74">
        <v>3368</v>
      </c>
      <c r="N12" s="75">
        <v>2745</v>
      </c>
    </row>
    <row r="13" spans="1:14" ht="33" customHeight="1">
      <c r="A13" s="42" t="s">
        <v>143</v>
      </c>
      <c r="B13" s="76"/>
      <c r="C13" s="76"/>
      <c r="D13" s="76"/>
      <c r="E13" s="76"/>
      <c r="F13" s="76"/>
      <c r="G13" s="76"/>
      <c r="H13" s="76"/>
      <c r="I13" s="76"/>
      <c r="J13" s="76"/>
      <c r="K13" s="76"/>
      <c r="L13" s="76"/>
      <c r="M13" s="76"/>
      <c r="N13" s="77"/>
    </row>
    <row r="16" spans="5:6" ht="15">
      <c r="E16" s="12"/>
      <c r="F16" s="12"/>
    </row>
    <row r="17" ht="15">
      <c r="J17" s="12"/>
    </row>
    <row r="18" ht="15">
      <c r="H18" s="12"/>
    </row>
    <row r="19" ht="15">
      <c r="C19" s="18"/>
    </row>
    <row r="20" ht="15">
      <c r="C20" s="18"/>
    </row>
    <row r="21" ht="15">
      <c r="C21" s="18"/>
    </row>
  </sheetData>
  <sheetProtection/>
  <mergeCells count="7">
    <mergeCell ref="A5:A6"/>
    <mergeCell ref="B5:B6"/>
    <mergeCell ref="C5:N5"/>
    <mergeCell ref="A1:N1"/>
    <mergeCell ref="A2:N2"/>
    <mergeCell ref="A3:N3"/>
    <mergeCell ref="L4:N4"/>
  </mergeCells>
  <printOptions/>
  <pageMargins left="0.54" right="0.28" top="0.51" bottom="0.7480314960629921"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Q118"/>
  <sheetViews>
    <sheetView tabSelected="1" view="pageBreakPreview" zoomScale="60" zoomScalePageLayoutView="0" workbookViewId="0" topLeftCell="A1">
      <pane ySplit="6" topLeftCell="A7" activePane="bottomLeft" state="frozen"/>
      <selection pane="topLeft" activeCell="A1" sqref="A1"/>
      <selection pane="bottomLeft" activeCell="E39" sqref="E39"/>
    </sheetView>
  </sheetViews>
  <sheetFormatPr defaultColWidth="8.796875" defaultRowHeight="18.75"/>
  <cols>
    <col min="1" max="1" width="4.3984375" style="551" bestFit="1" customWidth="1"/>
    <col min="2" max="2" width="24.69921875" style="551" customWidth="1"/>
    <col min="3" max="3" width="11.296875" style="551" bestFit="1" customWidth="1"/>
    <col min="4" max="4" width="11.69921875" style="551" customWidth="1"/>
    <col min="5" max="5" width="8.69921875" style="551" customWidth="1"/>
    <col min="6" max="6" width="9.8984375" style="551" customWidth="1"/>
    <col min="7" max="7" width="12.19921875" style="551" hidden="1" customWidth="1"/>
    <col min="8" max="8" width="11.69921875" style="551" customWidth="1"/>
    <col min="9" max="9" width="9.5" style="551" customWidth="1"/>
    <col min="10" max="10" width="8.69921875" style="551" customWidth="1"/>
    <col min="11" max="11" width="15" style="551" customWidth="1"/>
    <col min="12" max="12" width="16.296875" style="0" hidden="1" customWidth="1"/>
  </cols>
  <sheetData>
    <row r="1" spans="1:11" s="525" customFormat="1" ht="16.5">
      <c r="A1" s="881" t="s">
        <v>343</v>
      </c>
      <c r="B1" s="881"/>
      <c r="C1" s="881"/>
      <c r="D1" s="881"/>
      <c r="E1" s="881"/>
      <c r="F1" s="881"/>
      <c r="G1" s="881"/>
      <c r="H1" s="881"/>
      <c r="I1" s="881"/>
      <c r="J1" s="881"/>
      <c r="K1" s="881"/>
    </row>
    <row r="2" spans="1:11" s="525" customFormat="1" ht="16.5">
      <c r="A2" s="881" t="s">
        <v>328</v>
      </c>
      <c r="B2" s="881"/>
      <c r="C2" s="881"/>
      <c r="D2" s="881"/>
      <c r="E2" s="881"/>
      <c r="F2" s="881"/>
      <c r="G2" s="881"/>
      <c r="H2" s="881"/>
      <c r="I2" s="881"/>
      <c r="J2" s="881"/>
      <c r="K2" s="881"/>
    </row>
    <row r="3" spans="1:11" s="525" customFormat="1" ht="16.5">
      <c r="A3" s="882" t="s">
        <v>367</v>
      </c>
      <c r="B3" s="882"/>
      <c r="C3" s="882"/>
      <c r="D3" s="882"/>
      <c r="E3" s="882"/>
      <c r="F3" s="882"/>
      <c r="G3" s="882"/>
      <c r="H3" s="882"/>
      <c r="I3" s="882"/>
      <c r="J3" s="882"/>
      <c r="K3" s="882"/>
    </row>
    <row r="4" spans="1:11" s="525" customFormat="1" ht="15">
      <c r="A4" s="18"/>
      <c r="B4" s="526"/>
      <c r="C4" s="526"/>
      <c r="D4" s="526"/>
      <c r="E4" s="526"/>
      <c r="F4" s="526"/>
      <c r="G4" s="526"/>
      <c r="H4" s="526"/>
      <c r="I4" s="526"/>
      <c r="J4" s="526"/>
      <c r="K4" s="526"/>
    </row>
    <row r="5" spans="1:12" s="525" customFormat="1" ht="30" customHeight="1">
      <c r="A5" s="883" t="s">
        <v>0</v>
      </c>
      <c r="B5" s="873" t="s">
        <v>1</v>
      </c>
      <c r="C5" s="873" t="s">
        <v>326</v>
      </c>
      <c r="D5" s="873" t="s">
        <v>182</v>
      </c>
      <c r="E5" s="873"/>
      <c r="F5" s="873" t="s">
        <v>338</v>
      </c>
      <c r="G5" s="873"/>
      <c r="H5" s="873"/>
      <c r="I5" s="873" t="s">
        <v>327</v>
      </c>
      <c r="J5" s="873"/>
      <c r="K5" s="874" t="s">
        <v>342</v>
      </c>
      <c r="L5" s="879" t="s">
        <v>364</v>
      </c>
    </row>
    <row r="6" spans="1:12" s="525" customFormat="1" ht="41.25" customHeight="1">
      <c r="A6" s="884"/>
      <c r="B6" s="885"/>
      <c r="C6" s="885"/>
      <c r="D6" s="533" t="s">
        <v>348</v>
      </c>
      <c r="E6" s="533" t="s">
        <v>346</v>
      </c>
      <c r="F6" s="533" t="s">
        <v>28</v>
      </c>
      <c r="G6" s="533" t="s">
        <v>339</v>
      </c>
      <c r="H6" s="533" t="s">
        <v>340</v>
      </c>
      <c r="I6" s="533" t="s">
        <v>220</v>
      </c>
      <c r="J6" s="533" t="s">
        <v>341</v>
      </c>
      <c r="K6" s="875"/>
      <c r="L6" s="880"/>
    </row>
    <row r="7" spans="1:12" ht="39.75" customHeight="1">
      <c r="A7" s="600" t="s">
        <v>3</v>
      </c>
      <c r="B7" s="601" t="s">
        <v>152</v>
      </c>
      <c r="C7" s="601"/>
      <c r="D7" s="583"/>
      <c r="E7" s="583"/>
      <c r="F7" s="583"/>
      <c r="G7" s="583"/>
      <c r="H7" s="583"/>
      <c r="I7" s="583"/>
      <c r="J7" s="583"/>
      <c r="K7" s="781"/>
      <c r="L7" s="774"/>
    </row>
    <row r="8" spans="1:12" ht="39.75" customHeight="1">
      <c r="A8" s="602">
        <v>1</v>
      </c>
      <c r="B8" s="589" t="s">
        <v>146</v>
      </c>
      <c r="C8" s="589"/>
      <c r="D8" s="583"/>
      <c r="E8" s="583"/>
      <c r="F8" s="583"/>
      <c r="G8" s="583"/>
      <c r="H8" s="583"/>
      <c r="I8" s="583"/>
      <c r="J8" s="583"/>
      <c r="K8" s="781"/>
      <c r="L8" s="774"/>
    </row>
    <row r="9" spans="1:15" ht="39.75" customHeight="1">
      <c r="A9" s="603" t="s">
        <v>98</v>
      </c>
      <c r="B9" s="604" t="s">
        <v>275</v>
      </c>
      <c r="C9" s="605" t="s">
        <v>4</v>
      </c>
      <c r="D9" s="606">
        <f>SUM(D10:D12)</f>
        <v>750</v>
      </c>
      <c r="E9" s="607">
        <f>SUM(E10:E12)</f>
        <v>2105</v>
      </c>
      <c r="F9" s="607">
        <f>SUM(F10:F12)</f>
        <v>2442</v>
      </c>
      <c r="G9" s="606">
        <f>SUM(G10:G12)</f>
        <v>0</v>
      </c>
      <c r="H9" s="606">
        <f>SUM(H10:H12)</f>
        <v>972</v>
      </c>
      <c r="I9" s="667">
        <f>H9/F9*100</f>
        <v>39.80343980343981</v>
      </c>
      <c r="J9" s="667">
        <f>H9/D9*100</f>
        <v>129.6</v>
      </c>
      <c r="K9" s="782">
        <f>F9-H9</f>
        <v>1470</v>
      </c>
      <c r="L9" s="774"/>
      <c r="O9">
        <f>(H9-D9)/H9*100</f>
        <v>22.839506172839506</v>
      </c>
    </row>
    <row r="10" spans="1:12" ht="39.75" customHeight="1">
      <c r="A10" s="608" t="s">
        <v>9</v>
      </c>
      <c r="B10" s="609" t="s">
        <v>5</v>
      </c>
      <c r="C10" s="610" t="s">
        <v>4</v>
      </c>
      <c r="D10" s="594">
        <v>206</v>
      </c>
      <c r="E10" s="559">
        <v>705</v>
      </c>
      <c r="F10" s="566">
        <v>814</v>
      </c>
      <c r="G10" s="606" t="s">
        <v>9</v>
      </c>
      <c r="H10" s="559">
        <v>266</v>
      </c>
      <c r="I10" s="667">
        <f aca="true" t="shared" si="0" ref="I10:I28">H10/F10*100</f>
        <v>32.67813267813268</v>
      </c>
      <c r="J10" s="667">
        <f aca="true" t="shared" si="1" ref="J10:J28">H10/D10*100</f>
        <v>129.12621359223303</v>
      </c>
      <c r="K10" s="782">
        <f aca="true" t="shared" si="2" ref="K10:K73">F10-H10</f>
        <v>548</v>
      </c>
      <c r="L10" s="774"/>
    </row>
    <row r="11" spans="1:12" ht="39.75" customHeight="1">
      <c r="A11" s="608" t="s">
        <v>9</v>
      </c>
      <c r="B11" s="609" t="s">
        <v>6</v>
      </c>
      <c r="C11" s="610" t="s">
        <v>4</v>
      </c>
      <c r="D11" s="594">
        <v>205</v>
      </c>
      <c r="E11" s="559">
        <v>562</v>
      </c>
      <c r="F11" s="566">
        <v>656</v>
      </c>
      <c r="G11" s="606" t="s">
        <v>9</v>
      </c>
      <c r="H11" s="559">
        <v>285</v>
      </c>
      <c r="I11" s="667">
        <f t="shared" si="0"/>
        <v>43.44512195121951</v>
      </c>
      <c r="J11" s="667">
        <f t="shared" si="1"/>
        <v>139.02439024390242</v>
      </c>
      <c r="K11" s="782">
        <f t="shared" si="2"/>
        <v>371</v>
      </c>
      <c r="L11" s="774"/>
    </row>
    <row r="12" spans="1:14" ht="39.75" customHeight="1">
      <c r="A12" s="608" t="s">
        <v>9</v>
      </c>
      <c r="B12" s="609" t="s">
        <v>7</v>
      </c>
      <c r="C12" s="610" t="s">
        <v>4</v>
      </c>
      <c r="D12" s="594">
        <v>339</v>
      </c>
      <c r="E12" s="559">
        <v>838</v>
      </c>
      <c r="F12" s="566">
        <v>972</v>
      </c>
      <c r="G12" s="606" t="s">
        <v>9</v>
      </c>
      <c r="H12" s="559">
        <v>421</v>
      </c>
      <c r="I12" s="667">
        <f t="shared" si="0"/>
        <v>43.31275720164609</v>
      </c>
      <c r="J12" s="667">
        <f t="shared" si="1"/>
        <v>124.18879056047199</v>
      </c>
      <c r="K12" s="782">
        <f t="shared" si="2"/>
        <v>551</v>
      </c>
      <c r="L12" s="774"/>
      <c r="N12">
        <f>H11-D11</f>
        <v>80</v>
      </c>
    </row>
    <row r="13" spans="1:14" ht="39.75" customHeight="1">
      <c r="A13" s="603" t="s">
        <v>100</v>
      </c>
      <c r="B13" s="604" t="s">
        <v>276</v>
      </c>
      <c r="C13" s="605" t="s">
        <v>4</v>
      </c>
      <c r="D13" s="607">
        <f>SUM(D14:D16)</f>
        <v>1175</v>
      </c>
      <c r="E13" s="607">
        <f>SUM(E14:E16)</f>
        <v>2792</v>
      </c>
      <c r="F13" s="607">
        <f>SUM(F14:F16)</f>
        <v>3297</v>
      </c>
      <c r="G13" s="607">
        <f>SUM(G14:G16)</f>
        <v>0</v>
      </c>
      <c r="H13" s="607">
        <f>SUM(H14:H16)</f>
        <v>1470</v>
      </c>
      <c r="I13" s="667">
        <f t="shared" si="0"/>
        <v>44.5859872611465</v>
      </c>
      <c r="J13" s="667">
        <f t="shared" si="1"/>
        <v>125.1063829787234</v>
      </c>
      <c r="K13" s="782">
        <f t="shared" si="2"/>
        <v>1827</v>
      </c>
      <c r="L13" s="774"/>
      <c r="N13" s="771">
        <f>H13-D13</f>
        <v>295</v>
      </c>
    </row>
    <row r="14" spans="1:12" ht="39.75" customHeight="1">
      <c r="A14" s="608" t="s">
        <v>9</v>
      </c>
      <c r="B14" s="609" t="s">
        <v>5</v>
      </c>
      <c r="C14" s="610" t="s">
        <v>4</v>
      </c>
      <c r="D14" s="594">
        <v>377</v>
      </c>
      <c r="E14" s="566">
        <v>1132</v>
      </c>
      <c r="F14" s="566">
        <v>1308</v>
      </c>
      <c r="G14" s="606" t="s">
        <v>9</v>
      </c>
      <c r="H14" s="559">
        <v>473</v>
      </c>
      <c r="I14" s="667">
        <f t="shared" si="0"/>
        <v>36.162079510703364</v>
      </c>
      <c r="J14" s="667">
        <f t="shared" si="1"/>
        <v>125.46419098143235</v>
      </c>
      <c r="K14" s="782">
        <f t="shared" si="2"/>
        <v>835</v>
      </c>
      <c r="L14" s="774"/>
    </row>
    <row r="15" spans="1:15" ht="39.75" customHeight="1">
      <c r="A15" s="608" t="s">
        <v>9</v>
      </c>
      <c r="B15" s="609" t="s">
        <v>6</v>
      </c>
      <c r="C15" s="610" t="s">
        <v>4</v>
      </c>
      <c r="D15" s="594">
        <v>326</v>
      </c>
      <c r="E15" s="559">
        <v>680</v>
      </c>
      <c r="F15" s="566">
        <v>852</v>
      </c>
      <c r="G15" s="606" t="s">
        <v>9</v>
      </c>
      <c r="H15" s="559">
        <v>428</v>
      </c>
      <c r="I15" s="667">
        <f t="shared" si="0"/>
        <v>50.23474178403756</v>
      </c>
      <c r="J15" s="667">
        <f t="shared" si="1"/>
        <v>131.2883435582822</v>
      </c>
      <c r="K15" s="782">
        <f t="shared" si="2"/>
        <v>424</v>
      </c>
      <c r="L15" s="774"/>
      <c r="O15">
        <f>H15-D15</f>
        <v>102</v>
      </c>
    </row>
    <row r="16" spans="1:12" ht="39.75" customHeight="1">
      <c r="A16" s="608" t="s">
        <v>9</v>
      </c>
      <c r="B16" s="609" t="s">
        <v>7</v>
      </c>
      <c r="C16" s="610" t="s">
        <v>4</v>
      </c>
      <c r="D16" s="594">
        <v>472</v>
      </c>
      <c r="E16" s="559">
        <v>980</v>
      </c>
      <c r="F16" s="566">
        <v>1137</v>
      </c>
      <c r="G16" s="606" t="s">
        <v>9</v>
      </c>
      <c r="H16" s="559">
        <v>569</v>
      </c>
      <c r="I16" s="667">
        <f t="shared" si="0"/>
        <v>50.04397537379067</v>
      </c>
      <c r="J16" s="667">
        <f t="shared" si="1"/>
        <v>120.55084745762711</v>
      </c>
      <c r="K16" s="782">
        <f t="shared" si="2"/>
        <v>568</v>
      </c>
      <c r="L16" s="774"/>
    </row>
    <row r="17" spans="1:12" ht="51" customHeight="1">
      <c r="A17" s="602">
        <v>2</v>
      </c>
      <c r="B17" s="611" t="s">
        <v>287</v>
      </c>
      <c r="C17" s="612" t="s">
        <v>8</v>
      </c>
      <c r="D17" s="606" t="s">
        <v>9</v>
      </c>
      <c r="E17" s="559">
        <v>13.88</v>
      </c>
      <c r="F17" s="560">
        <v>16.05</v>
      </c>
      <c r="G17" s="606" t="s">
        <v>9</v>
      </c>
      <c r="H17" s="559">
        <v>13.95</v>
      </c>
      <c r="I17" s="667">
        <f t="shared" si="0"/>
        <v>86.91588785046727</v>
      </c>
      <c r="J17" s="667"/>
      <c r="K17" s="783">
        <f>F17-H17</f>
        <v>2.1000000000000014</v>
      </c>
      <c r="L17" s="774"/>
    </row>
    <row r="18" spans="1:12" ht="39.75" customHeight="1">
      <c r="A18" s="613" t="s">
        <v>9</v>
      </c>
      <c r="B18" s="614" t="s">
        <v>5</v>
      </c>
      <c r="C18" s="615" t="s">
        <v>8</v>
      </c>
      <c r="D18" s="606" t="s">
        <v>9</v>
      </c>
      <c r="E18" s="559">
        <v>15.38</v>
      </c>
      <c r="F18" s="560">
        <v>15.55</v>
      </c>
      <c r="G18" s="606" t="s">
        <v>9</v>
      </c>
      <c r="H18" s="559">
        <v>10.51</v>
      </c>
      <c r="I18" s="667">
        <f t="shared" si="0"/>
        <v>67.58842443729904</v>
      </c>
      <c r="J18" s="667"/>
      <c r="K18" s="782"/>
      <c r="L18" s="774"/>
    </row>
    <row r="19" spans="1:12" ht="39.75" customHeight="1">
      <c r="A19" s="613" t="s">
        <v>9</v>
      </c>
      <c r="B19" s="614" t="s">
        <v>6</v>
      </c>
      <c r="C19" s="615" t="s">
        <v>8</v>
      </c>
      <c r="D19" s="606" t="s">
        <v>9</v>
      </c>
      <c r="E19" s="559">
        <v>6.72</v>
      </c>
      <c r="F19" s="560">
        <v>16.71</v>
      </c>
      <c r="G19" s="606" t="s">
        <v>9</v>
      </c>
      <c r="H19" s="559">
        <v>15.68</v>
      </c>
      <c r="I19" s="667">
        <f t="shared" si="0"/>
        <v>93.836026331538</v>
      </c>
      <c r="J19" s="667"/>
      <c r="K19" s="782"/>
      <c r="L19" s="774"/>
    </row>
    <row r="20" spans="1:12" ht="39.75" customHeight="1">
      <c r="A20" s="613" t="s">
        <v>9</v>
      </c>
      <c r="B20" s="614" t="s">
        <v>7</v>
      </c>
      <c r="C20" s="615" t="s">
        <v>8</v>
      </c>
      <c r="D20" s="606" t="s">
        <v>9</v>
      </c>
      <c r="E20" s="559">
        <v>17.53</v>
      </c>
      <c r="F20" s="560">
        <v>16.02</v>
      </c>
      <c r="G20" s="606" t="s">
        <v>9</v>
      </c>
      <c r="H20" s="559">
        <v>14.95</v>
      </c>
      <c r="I20" s="667">
        <f t="shared" si="0"/>
        <v>93.32084893882646</v>
      </c>
      <c r="J20" s="667"/>
      <c r="K20" s="782"/>
      <c r="L20" s="774"/>
    </row>
    <row r="21" spans="1:12" ht="39.75" customHeight="1">
      <c r="A21" s="602">
        <v>3</v>
      </c>
      <c r="B21" s="611" t="s">
        <v>148</v>
      </c>
      <c r="C21" s="612" t="s">
        <v>8</v>
      </c>
      <c r="D21" s="606">
        <v>100</v>
      </c>
      <c r="E21" s="559">
        <v>100</v>
      </c>
      <c r="F21" s="560">
        <v>100</v>
      </c>
      <c r="G21" s="606" t="s">
        <v>9</v>
      </c>
      <c r="H21" s="606">
        <v>100</v>
      </c>
      <c r="I21" s="667"/>
      <c r="J21" s="667"/>
      <c r="K21" s="782"/>
      <c r="L21" s="774"/>
    </row>
    <row r="22" spans="1:17" ht="39.75" customHeight="1">
      <c r="A22" s="613" t="s">
        <v>9</v>
      </c>
      <c r="B22" s="614" t="s">
        <v>5</v>
      </c>
      <c r="C22" s="615" t="s">
        <v>8</v>
      </c>
      <c r="D22" s="595">
        <v>32.08510638297872</v>
      </c>
      <c r="E22" s="559">
        <v>40.9</v>
      </c>
      <c r="F22" s="560">
        <v>39.6</v>
      </c>
      <c r="G22" s="606" t="s">
        <v>9</v>
      </c>
      <c r="H22" s="559">
        <v>32.18</v>
      </c>
      <c r="I22" s="667"/>
      <c r="J22" s="667"/>
      <c r="K22" s="782"/>
      <c r="L22" s="774"/>
      <c r="Q22" s="773">
        <f>H22-D22</f>
        <v>0.09489361702127752</v>
      </c>
    </row>
    <row r="23" spans="1:15" ht="39.75" customHeight="1">
      <c r="A23" s="613" t="s">
        <v>9</v>
      </c>
      <c r="B23" s="614" t="s">
        <v>6</v>
      </c>
      <c r="C23" s="615" t="s">
        <v>8</v>
      </c>
      <c r="D23" s="595">
        <v>27.74468085106383</v>
      </c>
      <c r="E23" s="559">
        <v>24.4</v>
      </c>
      <c r="F23" s="560">
        <v>25.9</v>
      </c>
      <c r="G23" s="606" t="s">
        <v>9</v>
      </c>
      <c r="H23" s="559">
        <v>29.12</v>
      </c>
      <c r="I23" s="667"/>
      <c r="J23" s="667"/>
      <c r="K23" s="782"/>
      <c r="L23" s="774"/>
      <c r="O23" s="772">
        <f>H23-D23</f>
        <v>1.3753191489361711</v>
      </c>
    </row>
    <row r="24" spans="1:16" ht="39.75" customHeight="1">
      <c r="A24" s="613" t="s">
        <v>9</v>
      </c>
      <c r="B24" s="614" t="s">
        <v>7</v>
      </c>
      <c r="C24" s="615" t="s">
        <v>8</v>
      </c>
      <c r="D24" s="595">
        <v>40.170212765957444</v>
      </c>
      <c r="E24" s="559">
        <v>35.1</v>
      </c>
      <c r="F24" s="560">
        <v>34.5</v>
      </c>
      <c r="G24" s="606" t="s">
        <v>9</v>
      </c>
      <c r="H24" s="559">
        <v>38.71</v>
      </c>
      <c r="I24" s="667"/>
      <c r="J24" s="667"/>
      <c r="K24" s="782"/>
      <c r="L24" s="774"/>
      <c r="P24" s="772">
        <f>H24-D24</f>
        <v>-1.4602127659574435</v>
      </c>
    </row>
    <row r="25" spans="1:12" ht="39.75" customHeight="1">
      <c r="A25" s="602">
        <v>4</v>
      </c>
      <c r="B25" s="611" t="s">
        <v>10</v>
      </c>
      <c r="C25" s="612" t="s">
        <v>11</v>
      </c>
      <c r="D25" s="667">
        <v>3233.7000000000003</v>
      </c>
      <c r="E25" s="704">
        <v>12352</v>
      </c>
      <c r="F25" s="560">
        <v>12793</v>
      </c>
      <c r="G25" s="606" t="s">
        <v>9</v>
      </c>
      <c r="H25" s="667">
        <v>3375.7</v>
      </c>
      <c r="I25" s="667">
        <f t="shared" si="0"/>
        <v>26.387086688032518</v>
      </c>
      <c r="J25" s="667">
        <f t="shared" si="1"/>
        <v>104.39125459999381</v>
      </c>
      <c r="K25" s="782">
        <f t="shared" si="2"/>
        <v>9417.3</v>
      </c>
      <c r="L25" s="774"/>
    </row>
    <row r="26" spans="1:12" s="599" customFormat="1" ht="39.75" customHeight="1">
      <c r="A26" s="603"/>
      <c r="B26" s="614" t="s">
        <v>12</v>
      </c>
      <c r="C26" s="615" t="s">
        <v>13</v>
      </c>
      <c r="D26" s="616">
        <v>0</v>
      </c>
      <c r="E26" s="617">
        <v>244</v>
      </c>
      <c r="F26" s="562">
        <v>249.27903351519876</v>
      </c>
      <c r="G26" s="616" t="s">
        <v>9</v>
      </c>
      <c r="H26" s="877" t="s">
        <v>356</v>
      </c>
      <c r="I26" s="878"/>
      <c r="J26" s="878"/>
      <c r="K26" s="784">
        <v>249.3</v>
      </c>
      <c r="L26" s="775"/>
    </row>
    <row r="27" spans="1:12" ht="39.75" customHeight="1">
      <c r="A27" s="602">
        <v>5</v>
      </c>
      <c r="B27" s="611" t="s">
        <v>14</v>
      </c>
      <c r="C27" s="612" t="s">
        <v>294</v>
      </c>
      <c r="D27" s="606">
        <v>0</v>
      </c>
      <c r="E27" s="559">
        <v>36</v>
      </c>
      <c r="F27" s="560">
        <v>39</v>
      </c>
      <c r="G27" s="606" t="s">
        <v>9</v>
      </c>
      <c r="H27" s="878"/>
      <c r="I27" s="878"/>
      <c r="J27" s="878"/>
      <c r="K27" s="782">
        <f t="shared" si="2"/>
        <v>39</v>
      </c>
      <c r="L27" s="774"/>
    </row>
    <row r="28" spans="1:12" ht="39.75" customHeight="1">
      <c r="A28" s="602">
        <v>6</v>
      </c>
      <c r="B28" s="611" t="s">
        <v>15</v>
      </c>
      <c r="C28" s="612" t="s">
        <v>4</v>
      </c>
      <c r="D28" s="559">
        <v>88</v>
      </c>
      <c r="E28" s="559">
        <v>176</v>
      </c>
      <c r="F28" s="560">
        <v>188.34</v>
      </c>
      <c r="G28" s="606" t="s">
        <v>9</v>
      </c>
      <c r="H28" s="559">
        <v>97</v>
      </c>
      <c r="I28" s="667">
        <f t="shared" si="0"/>
        <v>51.50260167781672</v>
      </c>
      <c r="J28" s="667">
        <f t="shared" si="1"/>
        <v>110.22727272727273</v>
      </c>
      <c r="K28" s="782">
        <f t="shared" si="2"/>
        <v>91.34</v>
      </c>
      <c r="L28" s="774"/>
    </row>
    <row r="29" spans="1:12" ht="39.75" customHeight="1">
      <c r="A29" s="618">
        <v>7</v>
      </c>
      <c r="B29" s="619" t="s">
        <v>250</v>
      </c>
      <c r="C29" s="620"/>
      <c r="D29" s="559"/>
      <c r="E29" s="559"/>
      <c r="F29" s="560"/>
      <c r="G29" s="559"/>
      <c r="H29" s="559"/>
      <c r="I29" s="559"/>
      <c r="J29" s="559"/>
      <c r="K29" s="782">
        <f t="shared" si="2"/>
        <v>0</v>
      </c>
      <c r="L29" s="774"/>
    </row>
    <row r="30" spans="1:12" ht="39.75" customHeight="1">
      <c r="A30" s="618" t="s">
        <v>9</v>
      </c>
      <c r="B30" s="619" t="s">
        <v>251</v>
      </c>
      <c r="C30" s="620" t="s">
        <v>295</v>
      </c>
      <c r="D30" s="559">
        <v>8</v>
      </c>
      <c r="E30" s="559">
        <v>11</v>
      </c>
      <c r="F30" s="566">
        <v>14</v>
      </c>
      <c r="G30" s="559">
        <v>11</v>
      </c>
      <c r="H30" s="559">
        <v>11</v>
      </c>
      <c r="I30" s="560">
        <f>H30/F30*100</f>
        <v>78.57142857142857</v>
      </c>
      <c r="J30" s="560">
        <f>H30/D30*100</f>
        <v>137.5</v>
      </c>
      <c r="K30" s="782">
        <f t="shared" si="2"/>
        <v>3</v>
      </c>
      <c r="L30" s="774"/>
    </row>
    <row r="31" spans="1:12" ht="39.75" customHeight="1">
      <c r="A31" s="621"/>
      <c r="B31" s="622" t="s">
        <v>252</v>
      </c>
      <c r="C31" s="620" t="s">
        <v>295</v>
      </c>
      <c r="D31" s="559">
        <v>2</v>
      </c>
      <c r="E31" s="559">
        <v>5</v>
      </c>
      <c r="F31" s="566">
        <v>3</v>
      </c>
      <c r="G31" s="559">
        <v>0</v>
      </c>
      <c r="H31" s="559">
        <v>0</v>
      </c>
      <c r="I31" s="560">
        <f aca="true" t="shared" si="3" ref="I31:I94">H31/F31*100</f>
        <v>0</v>
      </c>
      <c r="J31" s="560">
        <f>H31/D31*100</f>
        <v>0</v>
      </c>
      <c r="K31" s="782">
        <f t="shared" si="2"/>
        <v>3</v>
      </c>
      <c r="L31" s="774"/>
    </row>
    <row r="32" spans="1:12" ht="39.75" customHeight="1">
      <c r="A32" s="621"/>
      <c r="B32" s="622" t="s">
        <v>253</v>
      </c>
      <c r="C32" s="620" t="s">
        <v>295</v>
      </c>
      <c r="D32" s="559">
        <v>0</v>
      </c>
      <c r="E32" s="559">
        <v>0</v>
      </c>
      <c r="F32" s="566">
        <v>0</v>
      </c>
      <c r="G32" s="559">
        <v>0</v>
      </c>
      <c r="H32" s="559">
        <v>0</v>
      </c>
      <c r="I32" s="560"/>
      <c r="J32" s="560"/>
      <c r="K32" s="782"/>
      <c r="L32" s="774"/>
    </row>
    <row r="33" spans="1:12" ht="39.75" customHeight="1">
      <c r="A33" s="618" t="s">
        <v>9</v>
      </c>
      <c r="B33" s="619" t="s">
        <v>254</v>
      </c>
      <c r="C33" s="620" t="s">
        <v>18</v>
      </c>
      <c r="D33" s="559">
        <v>80</v>
      </c>
      <c r="E33" s="559">
        <v>113</v>
      </c>
      <c r="F33" s="566">
        <v>134</v>
      </c>
      <c r="G33" s="559">
        <v>113</v>
      </c>
      <c r="H33" s="559">
        <v>113</v>
      </c>
      <c r="I33" s="560">
        <f t="shared" si="3"/>
        <v>84.32835820895522</v>
      </c>
      <c r="J33" s="560">
        <f>H33/D33*100</f>
        <v>141.25</v>
      </c>
      <c r="K33" s="782">
        <f t="shared" si="2"/>
        <v>21</v>
      </c>
      <c r="L33" s="774"/>
    </row>
    <row r="34" spans="1:12" ht="39.75" customHeight="1">
      <c r="A34" s="618" t="s">
        <v>9</v>
      </c>
      <c r="B34" s="619" t="s">
        <v>255</v>
      </c>
      <c r="C34" s="620" t="s">
        <v>8</v>
      </c>
      <c r="D34" s="560">
        <f>47/D33*100</f>
        <v>58.75</v>
      </c>
      <c r="E34" s="560">
        <f>68/E33*100</f>
        <v>60.17699115044248</v>
      </c>
      <c r="F34" s="560">
        <v>63.3</v>
      </c>
      <c r="G34" s="559">
        <v>60.2</v>
      </c>
      <c r="H34" s="559">
        <v>60.2</v>
      </c>
      <c r="I34" s="560">
        <f t="shared" si="3"/>
        <v>95.10268562401265</v>
      </c>
      <c r="J34" s="560">
        <f>H34/D34*100</f>
        <v>102.46808510638299</v>
      </c>
      <c r="K34" s="782"/>
      <c r="L34" s="774"/>
    </row>
    <row r="35" spans="1:12" s="745" customFormat="1" ht="39.75" customHeight="1">
      <c r="A35" s="742">
        <v>8</v>
      </c>
      <c r="B35" s="743" t="s">
        <v>256</v>
      </c>
      <c r="C35" s="744"/>
      <c r="D35" s="638"/>
      <c r="E35" s="638"/>
      <c r="F35" s="640"/>
      <c r="G35" s="638"/>
      <c r="H35" s="638"/>
      <c r="I35" s="640"/>
      <c r="J35" s="640"/>
      <c r="K35" s="785"/>
      <c r="L35" s="872"/>
    </row>
    <row r="36" spans="1:12" s="745" customFormat="1" ht="39.75" customHeight="1">
      <c r="A36" s="742" t="s">
        <v>9</v>
      </c>
      <c r="B36" s="743" t="s">
        <v>257</v>
      </c>
      <c r="C36" s="744" t="s">
        <v>296</v>
      </c>
      <c r="D36" s="638">
        <v>63</v>
      </c>
      <c r="E36" s="638">
        <v>63</v>
      </c>
      <c r="F36" s="639">
        <v>80</v>
      </c>
      <c r="G36" s="638"/>
      <c r="H36" s="638">
        <v>63</v>
      </c>
      <c r="I36" s="640">
        <f t="shared" si="3"/>
        <v>78.75</v>
      </c>
      <c r="J36" s="640">
        <f>H36/D36*100</f>
        <v>100</v>
      </c>
      <c r="K36" s="785">
        <f t="shared" si="2"/>
        <v>17</v>
      </c>
      <c r="L36" s="872"/>
    </row>
    <row r="37" spans="1:12" s="745" customFormat="1" ht="39.75" customHeight="1">
      <c r="A37" s="742" t="s">
        <v>9</v>
      </c>
      <c r="B37" s="743" t="s">
        <v>258</v>
      </c>
      <c r="C37" s="744" t="s">
        <v>259</v>
      </c>
      <c r="D37" s="639">
        <v>1938</v>
      </c>
      <c r="E37" s="639">
        <v>1938</v>
      </c>
      <c r="F37" s="639">
        <v>2500</v>
      </c>
      <c r="G37" s="638"/>
      <c r="H37" s="638">
        <v>1938</v>
      </c>
      <c r="I37" s="640">
        <f t="shared" si="3"/>
        <v>77.52</v>
      </c>
      <c r="J37" s="640">
        <f>H37/D37*100</f>
        <v>100</v>
      </c>
      <c r="K37" s="785">
        <f t="shared" si="2"/>
        <v>562</v>
      </c>
      <c r="L37" s="872"/>
    </row>
    <row r="38" spans="1:12" ht="39.75" customHeight="1">
      <c r="A38" s="623">
        <v>9</v>
      </c>
      <c r="B38" s="624" t="s">
        <v>260</v>
      </c>
      <c r="C38" s="625"/>
      <c r="D38" s="559"/>
      <c r="E38" s="559"/>
      <c r="F38" s="560"/>
      <c r="G38" s="559"/>
      <c r="H38" s="559"/>
      <c r="I38" s="560"/>
      <c r="J38" s="560"/>
      <c r="K38" s="782"/>
      <c r="L38" s="774"/>
    </row>
    <row r="39" spans="1:12" s="745" customFormat="1" ht="39.75" customHeight="1">
      <c r="A39" s="746" t="s">
        <v>9</v>
      </c>
      <c r="B39" s="747" t="s">
        <v>261</v>
      </c>
      <c r="C39" s="748" t="s">
        <v>262</v>
      </c>
      <c r="D39" s="749">
        <v>1</v>
      </c>
      <c r="E39" s="749">
        <v>4</v>
      </c>
      <c r="F39" s="750">
        <v>5</v>
      </c>
      <c r="G39" s="749">
        <v>3</v>
      </c>
      <c r="H39" s="749">
        <v>4</v>
      </c>
      <c r="I39" s="640">
        <f t="shared" si="3"/>
        <v>80</v>
      </c>
      <c r="J39" s="640">
        <f>H39/D39*100</f>
        <v>400</v>
      </c>
      <c r="K39" s="785">
        <f t="shared" si="2"/>
        <v>1</v>
      </c>
      <c r="L39" s="871"/>
    </row>
    <row r="40" spans="1:12" s="745" customFormat="1" ht="39.75" customHeight="1">
      <c r="A40" s="746" t="s">
        <v>9</v>
      </c>
      <c r="B40" s="747" t="s">
        <v>263</v>
      </c>
      <c r="C40" s="751" t="s">
        <v>4</v>
      </c>
      <c r="D40" s="749">
        <v>3</v>
      </c>
      <c r="E40" s="749">
        <v>11</v>
      </c>
      <c r="F40" s="750">
        <v>10</v>
      </c>
      <c r="G40" s="749">
        <v>9.7</v>
      </c>
      <c r="H40" s="749">
        <v>9.7</v>
      </c>
      <c r="I40" s="640">
        <f t="shared" si="3"/>
        <v>97</v>
      </c>
      <c r="J40" s="640">
        <f>H40/D40*100</f>
        <v>323.3333333333333</v>
      </c>
      <c r="K40" s="786">
        <f t="shared" si="2"/>
        <v>0.3000000000000007</v>
      </c>
      <c r="L40" s="871"/>
    </row>
    <row r="41" spans="1:12" s="745" customFormat="1" ht="39.75" customHeight="1">
      <c r="A41" s="746">
        <v>10</v>
      </c>
      <c r="B41" s="747" t="s">
        <v>180</v>
      </c>
      <c r="C41" s="751" t="s">
        <v>297</v>
      </c>
      <c r="D41" s="639">
        <v>11935</v>
      </c>
      <c r="E41" s="639">
        <v>56666</v>
      </c>
      <c r="F41" s="639">
        <v>40342</v>
      </c>
      <c r="G41" s="638"/>
      <c r="H41" s="639">
        <v>17000</v>
      </c>
      <c r="I41" s="640">
        <f t="shared" si="3"/>
        <v>42.13970551782262</v>
      </c>
      <c r="J41" s="640">
        <f>H41/D41*100</f>
        <v>142.43820695433598</v>
      </c>
      <c r="K41" s="785">
        <f t="shared" si="2"/>
        <v>23342</v>
      </c>
      <c r="L41" s="776"/>
    </row>
    <row r="42" spans="1:12" s="745" customFormat="1" ht="39.75" customHeight="1">
      <c r="A42" s="746">
        <v>11</v>
      </c>
      <c r="B42" s="747" t="s">
        <v>284</v>
      </c>
      <c r="C42" s="751"/>
      <c r="D42" s="638"/>
      <c r="E42" s="638"/>
      <c r="F42" s="639"/>
      <c r="G42" s="638"/>
      <c r="H42" s="638"/>
      <c r="I42" s="640"/>
      <c r="J42" s="640"/>
      <c r="K42" s="785">
        <f t="shared" si="2"/>
        <v>0</v>
      </c>
      <c r="L42" s="872" t="s">
        <v>358</v>
      </c>
    </row>
    <row r="43" spans="1:12" s="745" customFormat="1" ht="39.75" customHeight="1">
      <c r="A43" s="752" t="s">
        <v>9</v>
      </c>
      <c r="B43" s="753" t="s">
        <v>265</v>
      </c>
      <c r="C43" s="754" t="s">
        <v>264</v>
      </c>
      <c r="D43" s="638"/>
      <c r="E43" s="638">
        <v>11</v>
      </c>
      <c r="F43" s="639">
        <v>13</v>
      </c>
      <c r="G43" s="638"/>
      <c r="H43" s="638">
        <v>11</v>
      </c>
      <c r="I43" s="640">
        <f t="shared" si="3"/>
        <v>84.61538461538461</v>
      </c>
      <c r="J43" s="640"/>
      <c r="K43" s="785">
        <f t="shared" si="2"/>
        <v>2</v>
      </c>
      <c r="L43" s="872"/>
    </row>
    <row r="44" spans="1:12" s="745" customFormat="1" ht="39.75" customHeight="1">
      <c r="A44" s="752" t="s">
        <v>9</v>
      </c>
      <c r="B44" s="753" t="s">
        <v>266</v>
      </c>
      <c r="C44" s="754" t="s">
        <v>264</v>
      </c>
      <c r="D44" s="638"/>
      <c r="E44" s="638">
        <v>13</v>
      </c>
      <c r="F44" s="639">
        <v>18</v>
      </c>
      <c r="G44" s="638"/>
      <c r="H44" s="638">
        <v>18</v>
      </c>
      <c r="I44" s="640">
        <f t="shared" si="3"/>
        <v>100</v>
      </c>
      <c r="J44" s="640"/>
      <c r="K44" s="785">
        <f t="shared" si="2"/>
        <v>0</v>
      </c>
      <c r="L44" s="872"/>
    </row>
    <row r="45" spans="1:12" ht="39.75" customHeight="1">
      <c r="A45" s="600" t="s">
        <v>16</v>
      </c>
      <c r="B45" s="631" t="s">
        <v>149</v>
      </c>
      <c r="C45" s="631"/>
      <c r="D45" s="559"/>
      <c r="E45" s="559"/>
      <c r="F45" s="566"/>
      <c r="G45" s="559"/>
      <c r="H45" s="559"/>
      <c r="I45" s="560"/>
      <c r="J45" s="560"/>
      <c r="K45" s="782"/>
      <c r="L45" s="774"/>
    </row>
    <row r="46" spans="1:12" ht="39.75" customHeight="1">
      <c r="A46" s="602">
        <v>1</v>
      </c>
      <c r="B46" s="632" t="s">
        <v>192</v>
      </c>
      <c r="C46" s="610" t="s">
        <v>18</v>
      </c>
      <c r="D46" s="606" t="s">
        <v>9</v>
      </c>
      <c r="E46" s="559"/>
      <c r="F46" s="566">
        <v>51320</v>
      </c>
      <c r="G46" s="559"/>
      <c r="H46" s="877" t="s">
        <v>356</v>
      </c>
      <c r="I46" s="877"/>
      <c r="J46" s="877"/>
      <c r="K46" s="782">
        <f>F46</f>
        <v>51320</v>
      </c>
      <c r="L46" s="774"/>
    </row>
    <row r="47" spans="1:12" ht="39.75" customHeight="1">
      <c r="A47" s="602"/>
      <c r="B47" s="589" t="s">
        <v>19</v>
      </c>
      <c r="C47" s="610" t="s">
        <v>8</v>
      </c>
      <c r="D47" s="559"/>
      <c r="E47" s="559"/>
      <c r="F47" s="560">
        <v>1.46</v>
      </c>
      <c r="G47" s="559"/>
      <c r="H47" s="877"/>
      <c r="I47" s="877"/>
      <c r="J47" s="877"/>
      <c r="K47" s="783">
        <f t="shared" si="2"/>
        <v>1.46</v>
      </c>
      <c r="L47" s="774"/>
    </row>
    <row r="48" spans="1:12" ht="39.75" customHeight="1">
      <c r="A48" s="602">
        <v>2</v>
      </c>
      <c r="B48" s="589" t="s">
        <v>193</v>
      </c>
      <c r="C48" s="610"/>
      <c r="D48" s="559"/>
      <c r="E48" s="559"/>
      <c r="F48" s="560"/>
      <c r="G48" s="559"/>
      <c r="H48" s="559"/>
      <c r="I48" s="560"/>
      <c r="J48" s="560"/>
      <c r="K48" s="782"/>
      <c r="L48" s="774"/>
    </row>
    <row r="49" spans="1:12" ht="39.75" customHeight="1">
      <c r="A49" s="608" t="s">
        <v>9</v>
      </c>
      <c r="B49" s="589" t="s">
        <v>194</v>
      </c>
      <c r="C49" s="610" t="s">
        <v>18</v>
      </c>
      <c r="D49" s="559"/>
      <c r="E49" s="559"/>
      <c r="F49" s="560"/>
      <c r="G49" s="559"/>
      <c r="H49" s="559"/>
      <c r="I49" s="560"/>
      <c r="J49" s="560"/>
      <c r="K49" s="782">
        <f t="shared" si="2"/>
        <v>0</v>
      </c>
      <c r="L49" s="774"/>
    </row>
    <row r="50" spans="1:12" ht="39.75" customHeight="1">
      <c r="A50" s="608" t="s">
        <v>9</v>
      </c>
      <c r="B50" s="589" t="s">
        <v>318</v>
      </c>
      <c r="C50" s="610" t="s">
        <v>8</v>
      </c>
      <c r="D50" s="559"/>
      <c r="E50" s="559"/>
      <c r="F50" s="560">
        <v>8.5</v>
      </c>
      <c r="G50" s="559"/>
      <c r="H50" s="559"/>
      <c r="I50" s="560">
        <f t="shared" si="3"/>
        <v>0</v>
      </c>
      <c r="J50" s="560"/>
      <c r="K50" s="783">
        <f t="shared" si="2"/>
        <v>8.5</v>
      </c>
      <c r="L50" s="774"/>
    </row>
    <row r="51" spans="1:12" ht="39.75" customHeight="1">
      <c r="A51" s="608" t="s">
        <v>9</v>
      </c>
      <c r="B51" s="589" t="s">
        <v>170</v>
      </c>
      <c r="C51" s="610" t="s">
        <v>18</v>
      </c>
      <c r="D51" s="559"/>
      <c r="E51" s="559"/>
      <c r="F51" s="566">
        <v>395</v>
      </c>
      <c r="G51" s="559">
        <v>105</v>
      </c>
      <c r="H51" s="559">
        <v>105</v>
      </c>
      <c r="I51" s="560">
        <f t="shared" si="3"/>
        <v>26.582278481012654</v>
      </c>
      <c r="J51" s="560"/>
      <c r="K51" s="782">
        <f>F51-H51</f>
        <v>290</v>
      </c>
      <c r="L51" s="774"/>
    </row>
    <row r="52" spans="1:12" ht="39.75" customHeight="1">
      <c r="A52" s="608">
        <v>3</v>
      </c>
      <c r="B52" s="589" t="s">
        <v>196</v>
      </c>
      <c r="C52" s="610"/>
      <c r="D52" s="559"/>
      <c r="E52" s="559"/>
      <c r="F52" s="560"/>
      <c r="G52" s="559"/>
      <c r="H52" s="559"/>
      <c r="I52" s="560"/>
      <c r="J52" s="560"/>
      <c r="K52" s="782">
        <f t="shared" si="2"/>
        <v>0</v>
      </c>
      <c r="L52" s="774"/>
    </row>
    <row r="53" spans="1:12" ht="39.75" customHeight="1">
      <c r="A53" s="608" t="s">
        <v>9</v>
      </c>
      <c r="B53" s="589" t="s">
        <v>195</v>
      </c>
      <c r="C53" s="610" t="s">
        <v>197</v>
      </c>
      <c r="D53" s="559">
        <v>0</v>
      </c>
      <c r="E53" s="559">
        <v>2532</v>
      </c>
      <c r="F53" s="566">
        <v>2306</v>
      </c>
      <c r="G53" s="559"/>
      <c r="H53" s="876" t="s">
        <v>355</v>
      </c>
      <c r="I53" s="876"/>
      <c r="J53" s="876"/>
      <c r="K53" s="782">
        <f>F53</f>
        <v>2306</v>
      </c>
      <c r="L53" s="774"/>
    </row>
    <row r="54" spans="1:12" ht="39.75" customHeight="1">
      <c r="A54" s="608" t="s">
        <v>9</v>
      </c>
      <c r="B54" s="589" t="s">
        <v>150</v>
      </c>
      <c r="C54" s="610" t="s">
        <v>8</v>
      </c>
      <c r="D54" s="559">
        <v>0</v>
      </c>
      <c r="E54" s="559">
        <v>18.91</v>
      </c>
      <c r="F54" s="560">
        <v>17.23</v>
      </c>
      <c r="G54" s="559"/>
      <c r="H54" s="876"/>
      <c r="I54" s="876"/>
      <c r="J54" s="876"/>
      <c r="K54" s="783">
        <f t="shared" si="2"/>
        <v>17.23</v>
      </c>
      <c r="L54" s="774"/>
    </row>
    <row r="55" spans="1:12" ht="39.75" customHeight="1">
      <c r="A55" s="608" t="s">
        <v>9</v>
      </c>
      <c r="B55" s="589" t="s">
        <v>20</v>
      </c>
      <c r="C55" s="610" t="s">
        <v>8</v>
      </c>
      <c r="D55" s="559">
        <v>0</v>
      </c>
      <c r="E55" s="559">
        <v>5.6</v>
      </c>
      <c r="F55" s="566">
        <v>6</v>
      </c>
      <c r="G55" s="559"/>
      <c r="H55" s="876"/>
      <c r="I55" s="876"/>
      <c r="J55" s="876"/>
      <c r="K55" s="782">
        <f t="shared" si="2"/>
        <v>6</v>
      </c>
      <c r="L55" s="774"/>
    </row>
    <row r="56" spans="1:12" ht="39.75" customHeight="1">
      <c r="A56" s="633" t="s">
        <v>9</v>
      </c>
      <c r="B56" s="629" t="s">
        <v>267</v>
      </c>
      <c r="C56" s="630" t="s">
        <v>197</v>
      </c>
      <c r="D56" s="559">
        <v>0</v>
      </c>
      <c r="E56" s="559" t="s">
        <v>9</v>
      </c>
      <c r="F56" s="560" t="s">
        <v>9</v>
      </c>
      <c r="G56" s="559"/>
      <c r="H56" s="876"/>
      <c r="I56" s="876"/>
      <c r="J56" s="876"/>
      <c r="K56" s="782"/>
      <c r="L56" s="774"/>
    </row>
    <row r="57" spans="1:12" ht="39.75" customHeight="1">
      <c r="A57" s="608" t="s">
        <v>9</v>
      </c>
      <c r="B57" s="589" t="s">
        <v>198</v>
      </c>
      <c r="C57" s="610" t="s">
        <v>197</v>
      </c>
      <c r="D57" s="559">
        <v>0</v>
      </c>
      <c r="E57" s="559">
        <v>1126</v>
      </c>
      <c r="F57" s="566">
        <v>983</v>
      </c>
      <c r="G57" s="559"/>
      <c r="H57" s="876"/>
      <c r="I57" s="876"/>
      <c r="J57" s="876"/>
      <c r="K57" s="782">
        <f t="shared" si="2"/>
        <v>983</v>
      </c>
      <c r="L57" s="774"/>
    </row>
    <row r="58" spans="1:12" ht="39.75" customHeight="1">
      <c r="A58" s="608" t="s">
        <v>9</v>
      </c>
      <c r="B58" s="589" t="s">
        <v>199</v>
      </c>
      <c r="C58" s="610" t="s">
        <v>8</v>
      </c>
      <c r="D58" s="559">
        <v>0</v>
      </c>
      <c r="E58" s="559">
        <v>9.16</v>
      </c>
      <c r="F58" s="560">
        <v>7.52</v>
      </c>
      <c r="G58" s="559"/>
      <c r="H58" s="876"/>
      <c r="I58" s="876"/>
      <c r="J58" s="876"/>
      <c r="K58" s="782">
        <f t="shared" si="2"/>
        <v>7.52</v>
      </c>
      <c r="L58" s="774"/>
    </row>
    <row r="59" spans="1:12" ht="39.75" customHeight="1">
      <c r="A59" s="608">
        <v>4</v>
      </c>
      <c r="B59" s="589" t="s">
        <v>200</v>
      </c>
      <c r="C59" s="610"/>
      <c r="D59" s="559"/>
      <c r="E59" s="559"/>
      <c r="F59" s="560"/>
      <c r="G59" s="559"/>
      <c r="H59" s="559"/>
      <c r="I59" s="560"/>
      <c r="J59" s="560"/>
      <c r="K59" s="782">
        <f t="shared" si="2"/>
        <v>0</v>
      </c>
      <c r="L59" s="774"/>
    </row>
    <row r="60" spans="1:12" s="585" customFormat="1" ht="39.75" customHeight="1">
      <c r="A60" s="608" t="s">
        <v>9</v>
      </c>
      <c r="B60" s="589" t="s">
        <v>202</v>
      </c>
      <c r="C60" s="610" t="s">
        <v>8</v>
      </c>
      <c r="D60" s="634">
        <v>13.06</v>
      </c>
      <c r="E60" s="634">
        <v>14.39</v>
      </c>
      <c r="F60" s="635">
        <v>15.64</v>
      </c>
      <c r="G60" s="634">
        <v>14.13</v>
      </c>
      <c r="H60" s="634">
        <v>14.25</v>
      </c>
      <c r="I60" s="635"/>
      <c r="J60" s="635"/>
      <c r="K60" s="787">
        <f t="shared" si="2"/>
        <v>1.3900000000000006</v>
      </c>
      <c r="L60" s="777"/>
    </row>
    <row r="61" spans="1:12" s="585" customFormat="1" ht="39.75" customHeight="1">
      <c r="A61" s="608" t="s">
        <v>9</v>
      </c>
      <c r="B61" s="589" t="s">
        <v>21</v>
      </c>
      <c r="C61" s="610" t="s">
        <v>8</v>
      </c>
      <c r="D61" s="634">
        <v>97.68</v>
      </c>
      <c r="E61" s="634">
        <v>90.51</v>
      </c>
      <c r="F61" s="635">
        <v>90.8</v>
      </c>
      <c r="G61" s="634">
        <v>88.07</v>
      </c>
      <c r="H61" s="634">
        <v>88.1</v>
      </c>
      <c r="I61" s="635"/>
      <c r="J61" s="635"/>
      <c r="K61" s="787">
        <f t="shared" si="2"/>
        <v>2.700000000000003</v>
      </c>
      <c r="L61" s="777"/>
    </row>
    <row r="62" spans="1:12" s="585" customFormat="1" ht="39.75" customHeight="1">
      <c r="A62" s="608" t="s">
        <v>9</v>
      </c>
      <c r="B62" s="589" t="s">
        <v>201</v>
      </c>
      <c r="C62" s="610" t="s">
        <v>8</v>
      </c>
      <c r="D62" s="634">
        <v>6.38</v>
      </c>
      <c r="E62" s="634">
        <v>6.62</v>
      </c>
      <c r="F62" s="635">
        <v>6.5</v>
      </c>
      <c r="G62" s="634">
        <v>6.45</v>
      </c>
      <c r="H62" s="634">
        <v>6.45</v>
      </c>
      <c r="I62" s="635"/>
      <c r="J62" s="635"/>
      <c r="K62" s="788">
        <f t="shared" si="2"/>
        <v>0.04999999999999982</v>
      </c>
      <c r="L62" s="777"/>
    </row>
    <row r="63" spans="1:12" ht="53.25" customHeight="1">
      <c r="A63" s="608" t="s">
        <v>9</v>
      </c>
      <c r="B63" s="589" t="s">
        <v>293</v>
      </c>
      <c r="C63" s="610" t="s">
        <v>8</v>
      </c>
      <c r="D63" s="636">
        <v>25.8</v>
      </c>
      <c r="E63" s="637">
        <f>130/E61*10000</f>
        <v>14363.053806209258</v>
      </c>
      <c r="F63" s="560">
        <v>27.43</v>
      </c>
      <c r="G63" s="636">
        <f>130/50894*10000</f>
        <v>25.543286045506346</v>
      </c>
      <c r="H63" s="636">
        <f>130/50894*10000</f>
        <v>25.543286045506346</v>
      </c>
      <c r="I63" s="560"/>
      <c r="J63" s="560"/>
      <c r="K63" s="782">
        <f t="shared" si="2"/>
        <v>1.8867139544936542</v>
      </c>
      <c r="L63" s="774"/>
    </row>
    <row r="64" spans="1:12" ht="39.75" customHeight="1">
      <c r="A64" s="608" t="s">
        <v>9</v>
      </c>
      <c r="B64" s="589" t="s">
        <v>22</v>
      </c>
      <c r="C64" s="610" t="s">
        <v>8</v>
      </c>
      <c r="D64" s="636" t="s">
        <v>353</v>
      </c>
      <c r="E64" s="637">
        <f>34/E61*10000</f>
        <v>3756.490995470114</v>
      </c>
      <c r="F64" s="560">
        <v>7.6</v>
      </c>
      <c r="G64" s="636">
        <f>34/50878*10000</f>
        <v>6.682652619992924</v>
      </c>
      <c r="H64" s="636">
        <f>34/50878*10000</f>
        <v>6.682652619992924</v>
      </c>
      <c r="I64" s="560"/>
      <c r="J64" s="560"/>
      <c r="K64" s="782">
        <f t="shared" si="2"/>
        <v>0.9173473800070759</v>
      </c>
      <c r="L64" s="774"/>
    </row>
    <row r="65" spans="1:12" ht="39.75" customHeight="1">
      <c r="A65" s="608" t="s">
        <v>9</v>
      </c>
      <c r="B65" s="589" t="s">
        <v>23</v>
      </c>
      <c r="C65" s="610" t="s">
        <v>8</v>
      </c>
      <c r="D65" s="638">
        <v>100</v>
      </c>
      <c r="E65" s="638">
        <v>100</v>
      </c>
      <c r="F65" s="566">
        <v>100</v>
      </c>
      <c r="G65" s="639">
        <v>100</v>
      </c>
      <c r="H65" s="639">
        <v>100</v>
      </c>
      <c r="I65" s="560"/>
      <c r="J65" s="560"/>
      <c r="K65" s="782">
        <f t="shared" si="2"/>
        <v>0</v>
      </c>
      <c r="L65" s="774"/>
    </row>
    <row r="66" spans="1:12" ht="39.75" customHeight="1">
      <c r="A66" s="608" t="s">
        <v>9</v>
      </c>
      <c r="B66" s="589" t="s">
        <v>203</v>
      </c>
      <c r="C66" s="610" t="s">
        <v>8</v>
      </c>
      <c r="D66" s="638">
        <v>100</v>
      </c>
      <c r="E66" s="638">
        <v>100</v>
      </c>
      <c r="F66" s="566">
        <v>100</v>
      </c>
      <c r="G66" s="639">
        <v>100</v>
      </c>
      <c r="H66" s="639">
        <v>100</v>
      </c>
      <c r="I66" s="560"/>
      <c r="J66" s="560"/>
      <c r="K66" s="782">
        <f t="shared" si="2"/>
        <v>0</v>
      </c>
      <c r="L66" s="774"/>
    </row>
    <row r="67" spans="1:12" ht="39.75" customHeight="1">
      <c r="A67" s="608" t="s">
        <v>9</v>
      </c>
      <c r="B67" s="589" t="s">
        <v>24</v>
      </c>
      <c r="C67" s="610" t="s">
        <v>8</v>
      </c>
      <c r="D67" s="638">
        <v>16.2</v>
      </c>
      <c r="E67" s="638">
        <v>16.2</v>
      </c>
      <c r="F67" s="560">
        <v>15.8</v>
      </c>
      <c r="G67" s="638" t="s">
        <v>354</v>
      </c>
      <c r="H67" s="640">
        <v>15.8</v>
      </c>
      <c r="I67" s="560"/>
      <c r="J67" s="560"/>
      <c r="K67" s="782">
        <f t="shared" si="2"/>
        <v>0</v>
      </c>
      <c r="L67" s="774"/>
    </row>
    <row r="68" spans="1:12" ht="39.75" customHeight="1">
      <c r="A68" s="608" t="s">
        <v>9</v>
      </c>
      <c r="B68" s="589" t="s">
        <v>204</v>
      </c>
      <c r="C68" s="610" t="s">
        <v>8</v>
      </c>
      <c r="D68" s="636">
        <v>27.2</v>
      </c>
      <c r="E68" s="636">
        <v>27.2</v>
      </c>
      <c r="F68" s="560">
        <v>27</v>
      </c>
      <c r="G68" s="638" t="s">
        <v>354</v>
      </c>
      <c r="H68" s="640">
        <v>26.8</v>
      </c>
      <c r="I68" s="560"/>
      <c r="J68" s="560"/>
      <c r="K68" s="782">
        <f t="shared" si="2"/>
        <v>0.1999999999999993</v>
      </c>
      <c r="L68" s="774"/>
    </row>
    <row r="69" spans="1:12" ht="39.75" customHeight="1">
      <c r="A69" s="633" t="s">
        <v>9</v>
      </c>
      <c r="B69" s="641" t="s">
        <v>269</v>
      </c>
      <c r="C69" s="642" t="s">
        <v>270</v>
      </c>
      <c r="D69" s="637">
        <f>7/445*1000</f>
        <v>15.730337078651687</v>
      </c>
      <c r="E69" s="637">
        <f>14/905*1000</f>
        <v>15.46961325966851</v>
      </c>
      <c r="F69" s="560" t="s">
        <v>285</v>
      </c>
      <c r="G69" s="638">
        <v>4.42</v>
      </c>
      <c r="H69" s="640" t="s">
        <v>285</v>
      </c>
      <c r="I69" s="560"/>
      <c r="J69" s="560"/>
      <c r="K69" s="782">
        <v>0</v>
      </c>
      <c r="L69" s="774"/>
    </row>
    <row r="70" spans="1:12" ht="39.75" customHeight="1">
      <c r="A70" s="633" t="s">
        <v>9</v>
      </c>
      <c r="B70" s="643" t="s">
        <v>271</v>
      </c>
      <c r="C70" s="642" t="s">
        <v>270</v>
      </c>
      <c r="D70" s="637">
        <f>3/445*1000</f>
        <v>6.741573033707866</v>
      </c>
      <c r="E70" s="637">
        <f>8/905*1000</f>
        <v>8.839779005524862</v>
      </c>
      <c r="F70" s="560" t="s">
        <v>286</v>
      </c>
      <c r="G70" s="638">
        <v>0</v>
      </c>
      <c r="H70" s="640" t="s">
        <v>286</v>
      </c>
      <c r="I70" s="560"/>
      <c r="J70" s="560"/>
      <c r="K70" s="782">
        <v>0</v>
      </c>
      <c r="L70" s="774"/>
    </row>
    <row r="71" spans="1:12" ht="53.25" customHeight="1">
      <c r="A71" s="608" t="s">
        <v>9</v>
      </c>
      <c r="B71" s="589" t="s">
        <v>158</v>
      </c>
      <c r="C71" s="610" t="s">
        <v>160</v>
      </c>
      <c r="D71" s="559"/>
      <c r="E71" s="559"/>
      <c r="F71" s="566">
        <v>142</v>
      </c>
      <c r="G71" s="559">
        <v>140</v>
      </c>
      <c r="H71" s="559">
        <v>140</v>
      </c>
      <c r="I71" s="560">
        <f t="shared" si="3"/>
        <v>98.59154929577466</v>
      </c>
      <c r="J71" s="560"/>
      <c r="K71" s="782">
        <f t="shared" si="2"/>
        <v>2</v>
      </c>
      <c r="L71" s="774"/>
    </row>
    <row r="72" spans="1:12" ht="39.75" customHeight="1">
      <c r="A72" s="608" t="s">
        <v>9</v>
      </c>
      <c r="B72" s="589" t="s">
        <v>159</v>
      </c>
      <c r="C72" s="610" t="s">
        <v>160</v>
      </c>
      <c r="D72" s="559"/>
      <c r="E72" s="559"/>
      <c r="F72" s="566">
        <v>57</v>
      </c>
      <c r="G72" s="559">
        <v>33</v>
      </c>
      <c r="H72" s="559">
        <v>33</v>
      </c>
      <c r="I72" s="560">
        <f t="shared" si="3"/>
        <v>57.89473684210527</v>
      </c>
      <c r="J72" s="560"/>
      <c r="K72" s="782">
        <f t="shared" si="2"/>
        <v>24</v>
      </c>
      <c r="L72" s="774"/>
    </row>
    <row r="73" spans="1:12" ht="39.75" customHeight="1">
      <c r="A73" s="644">
        <v>5</v>
      </c>
      <c r="B73" s="589" t="s">
        <v>205</v>
      </c>
      <c r="C73" s="610"/>
      <c r="D73" s="559"/>
      <c r="E73" s="559"/>
      <c r="F73" s="560"/>
      <c r="G73" s="559"/>
      <c r="H73" s="559"/>
      <c r="I73" s="560"/>
      <c r="J73" s="560"/>
      <c r="K73" s="782">
        <f t="shared" si="2"/>
        <v>0</v>
      </c>
      <c r="L73" s="774"/>
    </row>
    <row r="74" spans="1:12" ht="39.75" customHeight="1">
      <c r="A74" s="608" t="s">
        <v>9</v>
      </c>
      <c r="B74" s="609" t="s">
        <v>206</v>
      </c>
      <c r="C74" s="610" t="s">
        <v>116</v>
      </c>
      <c r="D74" s="566">
        <f>D75+D76+D77+D78+D79+D80</f>
        <v>14839</v>
      </c>
      <c r="E74" s="566">
        <f>E75+E76+E77+E78+E79+E80</f>
        <v>14834</v>
      </c>
      <c r="F74" s="566">
        <f>F75+F76+F77+F78+F79+F80</f>
        <v>15691</v>
      </c>
      <c r="G74" s="566">
        <f>G75+G76+G77+G78+G79+G80</f>
        <v>13753</v>
      </c>
      <c r="H74" s="566">
        <f>H75+H76+H77+H78+H79+H80</f>
        <v>14691</v>
      </c>
      <c r="I74" s="560">
        <f t="shared" si="3"/>
        <v>93.62691989038302</v>
      </c>
      <c r="J74" s="560">
        <f aca="true" t="shared" si="4" ref="J74:J80">H74/D74*100</f>
        <v>99.00262820944808</v>
      </c>
      <c r="K74" s="782">
        <f aca="true" t="shared" si="5" ref="K74:K118">F74-H74</f>
        <v>1000</v>
      </c>
      <c r="L74" s="774"/>
    </row>
    <row r="75" spans="1:12" ht="39.75" customHeight="1">
      <c r="A75" s="603"/>
      <c r="B75" s="645" t="s">
        <v>246</v>
      </c>
      <c r="C75" s="605" t="s">
        <v>116</v>
      </c>
      <c r="D75" s="559">
        <v>223</v>
      </c>
      <c r="E75" s="559">
        <v>223</v>
      </c>
      <c r="F75" s="566">
        <v>255</v>
      </c>
      <c r="G75" s="559">
        <v>219</v>
      </c>
      <c r="H75" s="559">
        <v>219</v>
      </c>
      <c r="I75" s="560">
        <f t="shared" si="3"/>
        <v>85.88235294117646</v>
      </c>
      <c r="J75" s="560">
        <f t="shared" si="4"/>
        <v>98.20627802690582</v>
      </c>
      <c r="K75" s="782">
        <f t="shared" si="5"/>
        <v>36</v>
      </c>
      <c r="L75" s="774"/>
    </row>
    <row r="76" spans="1:12" ht="39.75" customHeight="1">
      <c r="A76" s="603"/>
      <c r="B76" s="645" t="s">
        <v>247</v>
      </c>
      <c r="C76" s="605" t="s">
        <v>116</v>
      </c>
      <c r="D76" s="566">
        <v>3594</v>
      </c>
      <c r="E76" s="566">
        <v>3594</v>
      </c>
      <c r="F76" s="566">
        <v>3595</v>
      </c>
      <c r="G76" s="566">
        <v>3576</v>
      </c>
      <c r="H76" s="566">
        <v>3576</v>
      </c>
      <c r="I76" s="560">
        <f t="shared" si="3"/>
        <v>99.47148817802504</v>
      </c>
      <c r="J76" s="560">
        <f t="shared" si="4"/>
        <v>99.4991652754591</v>
      </c>
      <c r="K76" s="782">
        <f t="shared" si="5"/>
        <v>19</v>
      </c>
      <c r="L76" s="774"/>
    </row>
    <row r="77" spans="1:12" ht="39.75" customHeight="1">
      <c r="A77" s="603"/>
      <c r="B77" s="646" t="s">
        <v>243</v>
      </c>
      <c r="C77" s="605" t="s">
        <v>116</v>
      </c>
      <c r="D77" s="566">
        <v>6283</v>
      </c>
      <c r="E77" s="566">
        <v>6283</v>
      </c>
      <c r="F77" s="566">
        <v>6425</v>
      </c>
      <c r="G77" s="566">
        <v>6277</v>
      </c>
      <c r="H77" s="566">
        <v>6277</v>
      </c>
      <c r="I77" s="560">
        <f t="shared" si="3"/>
        <v>97.69649805447472</v>
      </c>
      <c r="J77" s="560">
        <f t="shared" si="4"/>
        <v>99.90450421773038</v>
      </c>
      <c r="K77" s="782">
        <f t="shared" si="5"/>
        <v>148</v>
      </c>
      <c r="L77" s="774"/>
    </row>
    <row r="78" spans="1:12" ht="39.75" customHeight="1">
      <c r="A78" s="603"/>
      <c r="B78" s="645" t="s">
        <v>248</v>
      </c>
      <c r="C78" s="605" t="s">
        <v>116</v>
      </c>
      <c r="D78" s="566">
        <v>3702</v>
      </c>
      <c r="E78" s="566">
        <v>3702</v>
      </c>
      <c r="F78" s="566">
        <v>4240</v>
      </c>
      <c r="G78" s="566">
        <v>3628</v>
      </c>
      <c r="H78" s="566">
        <v>3628</v>
      </c>
      <c r="I78" s="560">
        <f t="shared" si="3"/>
        <v>85.56603773584905</v>
      </c>
      <c r="J78" s="560">
        <f t="shared" si="4"/>
        <v>98.00108049702864</v>
      </c>
      <c r="K78" s="782">
        <f t="shared" si="5"/>
        <v>612</v>
      </c>
      <c r="L78" s="774"/>
    </row>
    <row r="79" spans="1:12" ht="39.75" customHeight="1">
      <c r="A79" s="603"/>
      <c r="B79" s="645" t="s">
        <v>249</v>
      </c>
      <c r="C79" s="605" t="s">
        <v>116</v>
      </c>
      <c r="D79" s="559">
        <f>147+494+336</f>
        <v>977</v>
      </c>
      <c r="E79" s="559">
        <f>137+494+341</f>
        <v>972</v>
      </c>
      <c r="F79" s="566">
        <v>1116</v>
      </c>
      <c r="G79" s="559"/>
      <c r="H79" s="559">
        <f>137+468+333</f>
        <v>938</v>
      </c>
      <c r="I79" s="560">
        <f t="shared" si="3"/>
        <v>84.05017921146953</v>
      </c>
      <c r="J79" s="560">
        <f t="shared" si="4"/>
        <v>96.00818833162744</v>
      </c>
      <c r="K79" s="782">
        <f t="shared" si="5"/>
        <v>178</v>
      </c>
      <c r="L79" s="774"/>
    </row>
    <row r="80" spans="1:12" ht="39.75" customHeight="1">
      <c r="A80" s="603"/>
      <c r="B80" s="645" t="s">
        <v>124</v>
      </c>
      <c r="C80" s="605" t="s">
        <v>116</v>
      </c>
      <c r="D80" s="559">
        <v>60</v>
      </c>
      <c r="E80" s="559">
        <v>60</v>
      </c>
      <c r="F80" s="566">
        <v>60</v>
      </c>
      <c r="G80" s="559">
        <v>53</v>
      </c>
      <c r="H80" s="559">
        <v>53</v>
      </c>
      <c r="I80" s="560">
        <f t="shared" si="3"/>
        <v>88.33333333333333</v>
      </c>
      <c r="J80" s="560">
        <f t="shared" si="4"/>
        <v>88.33333333333333</v>
      </c>
      <c r="K80" s="782">
        <f t="shared" si="5"/>
        <v>7</v>
      </c>
      <c r="L80" s="774"/>
    </row>
    <row r="81" spans="1:12" ht="39.75" customHeight="1">
      <c r="A81" s="608" t="s">
        <v>9</v>
      </c>
      <c r="B81" s="589" t="s">
        <v>207</v>
      </c>
      <c r="C81" s="610"/>
      <c r="D81" s="559"/>
      <c r="E81" s="559"/>
      <c r="F81" s="566"/>
      <c r="G81" s="559"/>
      <c r="H81" s="559"/>
      <c r="I81" s="560"/>
      <c r="J81" s="560"/>
      <c r="K81" s="782"/>
      <c r="L81" s="774"/>
    </row>
    <row r="82" spans="1:12" ht="39.75" customHeight="1">
      <c r="A82" s="603"/>
      <c r="B82" s="646" t="s">
        <v>243</v>
      </c>
      <c r="C82" s="610" t="s">
        <v>8</v>
      </c>
      <c r="D82" s="596">
        <v>99.7</v>
      </c>
      <c r="E82" s="596">
        <v>99.7</v>
      </c>
      <c r="F82" s="566">
        <v>100</v>
      </c>
      <c r="G82" s="566">
        <v>100</v>
      </c>
      <c r="H82" s="566">
        <v>100</v>
      </c>
      <c r="I82" s="560">
        <f t="shared" si="3"/>
        <v>100</v>
      </c>
      <c r="J82" s="560">
        <f aca="true" t="shared" si="6" ref="J82:J91">H82/D82*100</f>
        <v>100.30090270812437</v>
      </c>
      <c r="K82" s="782">
        <f t="shared" si="5"/>
        <v>0</v>
      </c>
      <c r="L82" s="774"/>
    </row>
    <row r="83" spans="1:12" ht="39.75" customHeight="1">
      <c r="A83" s="603"/>
      <c r="B83" s="645" t="s">
        <v>245</v>
      </c>
      <c r="C83" s="610" t="s">
        <v>8</v>
      </c>
      <c r="D83" s="597">
        <v>92.1</v>
      </c>
      <c r="E83" s="597">
        <v>92.1</v>
      </c>
      <c r="F83" s="566">
        <v>100</v>
      </c>
      <c r="G83" s="566">
        <v>100</v>
      </c>
      <c r="H83" s="566">
        <v>100</v>
      </c>
      <c r="I83" s="560">
        <f t="shared" si="3"/>
        <v>100</v>
      </c>
      <c r="J83" s="560">
        <f t="shared" si="6"/>
        <v>108.57763300760044</v>
      </c>
      <c r="K83" s="782">
        <f t="shared" si="5"/>
        <v>0</v>
      </c>
      <c r="L83" s="774"/>
    </row>
    <row r="84" spans="1:12" ht="56.25" customHeight="1">
      <c r="A84" s="608" t="s">
        <v>9</v>
      </c>
      <c r="B84" s="647" t="s">
        <v>268</v>
      </c>
      <c r="C84" s="610" t="s">
        <v>8</v>
      </c>
      <c r="D84" s="559">
        <v>3</v>
      </c>
      <c r="E84" s="559">
        <v>3</v>
      </c>
      <c r="F84" s="566">
        <v>10</v>
      </c>
      <c r="G84" s="559">
        <v>11.2</v>
      </c>
      <c r="H84" s="559">
        <v>11.2</v>
      </c>
      <c r="I84" s="560">
        <f t="shared" si="3"/>
        <v>111.99999999999999</v>
      </c>
      <c r="J84" s="560">
        <f t="shared" si="6"/>
        <v>373.3333333333333</v>
      </c>
      <c r="K84" s="782"/>
      <c r="L84" s="774"/>
    </row>
    <row r="85" spans="1:12" ht="39.75" customHeight="1">
      <c r="A85" s="608" t="s">
        <v>9</v>
      </c>
      <c r="B85" s="648" t="s">
        <v>177</v>
      </c>
      <c r="C85" s="610" t="s">
        <v>8</v>
      </c>
      <c r="D85" s="571">
        <v>41.2</v>
      </c>
      <c r="E85" s="571">
        <v>41.17</v>
      </c>
      <c r="F85" s="560">
        <v>41.17</v>
      </c>
      <c r="G85" s="571">
        <v>41.2</v>
      </c>
      <c r="H85" s="571">
        <v>41.17</v>
      </c>
      <c r="I85" s="560">
        <f t="shared" si="3"/>
        <v>100</v>
      </c>
      <c r="J85" s="560">
        <f t="shared" si="6"/>
        <v>99.92718446601941</v>
      </c>
      <c r="K85" s="782">
        <f t="shared" si="5"/>
        <v>0</v>
      </c>
      <c r="L85" s="774"/>
    </row>
    <row r="86" spans="1:12" ht="39.75" customHeight="1">
      <c r="A86" s="608" t="s">
        <v>147</v>
      </c>
      <c r="B86" s="649" t="s">
        <v>242</v>
      </c>
      <c r="C86" s="650" t="s">
        <v>8</v>
      </c>
      <c r="D86" s="581">
        <v>33.3</v>
      </c>
      <c r="E86" s="581">
        <v>33.3</v>
      </c>
      <c r="F86" s="560">
        <v>33.3</v>
      </c>
      <c r="G86" s="581">
        <v>33.3</v>
      </c>
      <c r="H86" s="581">
        <v>33.3</v>
      </c>
      <c r="I86" s="560">
        <f t="shared" si="3"/>
        <v>100</v>
      </c>
      <c r="J86" s="560">
        <f t="shared" si="6"/>
        <v>100</v>
      </c>
      <c r="K86" s="782">
        <f t="shared" si="5"/>
        <v>0</v>
      </c>
      <c r="L86" s="774"/>
    </row>
    <row r="87" spans="1:12" ht="39.75" customHeight="1">
      <c r="A87" s="608" t="s">
        <v>147</v>
      </c>
      <c r="B87" s="649" t="s">
        <v>243</v>
      </c>
      <c r="C87" s="650" t="s">
        <v>8</v>
      </c>
      <c r="D87" s="581">
        <v>55.55</v>
      </c>
      <c r="E87" s="581">
        <v>55.55</v>
      </c>
      <c r="F87" s="560">
        <v>55.55</v>
      </c>
      <c r="G87" s="581">
        <v>55.55</v>
      </c>
      <c r="H87" s="581">
        <v>55.55</v>
      </c>
      <c r="I87" s="560">
        <f t="shared" si="3"/>
        <v>100</v>
      </c>
      <c r="J87" s="560">
        <f t="shared" si="6"/>
        <v>100</v>
      </c>
      <c r="K87" s="782">
        <f t="shared" si="5"/>
        <v>0</v>
      </c>
      <c r="L87" s="774"/>
    </row>
    <row r="88" spans="1:12" ht="39.75" customHeight="1">
      <c r="A88" s="608" t="s">
        <v>147</v>
      </c>
      <c r="B88" s="649" t="s">
        <v>244</v>
      </c>
      <c r="C88" s="650" t="s">
        <v>8</v>
      </c>
      <c r="D88" s="581">
        <v>62.5</v>
      </c>
      <c r="E88" s="581">
        <v>62.5</v>
      </c>
      <c r="F88" s="560">
        <v>62.5</v>
      </c>
      <c r="G88" s="581">
        <v>62.5</v>
      </c>
      <c r="H88" s="581">
        <v>62.5</v>
      </c>
      <c r="I88" s="560">
        <f t="shared" si="3"/>
        <v>100</v>
      </c>
      <c r="J88" s="560">
        <f t="shared" si="6"/>
        <v>100</v>
      </c>
      <c r="K88" s="782">
        <f t="shared" si="5"/>
        <v>0</v>
      </c>
      <c r="L88" s="774"/>
    </row>
    <row r="89" spans="1:12" ht="91.5" customHeight="1">
      <c r="A89" s="651"/>
      <c r="B89" s="652" t="s">
        <v>161</v>
      </c>
      <c r="C89" s="653" t="s">
        <v>8</v>
      </c>
      <c r="D89" s="566">
        <v>100</v>
      </c>
      <c r="E89" s="566">
        <v>100</v>
      </c>
      <c r="F89" s="566">
        <v>100</v>
      </c>
      <c r="G89" s="566">
        <v>100</v>
      </c>
      <c r="H89" s="566">
        <v>100</v>
      </c>
      <c r="I89" s="560">
        <f t="shared" si="3"/>
        <v>100</v>
      </c>
      <c r="J89" s="560">
        <f t="shared" si="6"/>
        <v>100</v>
      </c>
      <c r="K89" s="782">
        <f t="shared" si="5"/>
        <v>0</v>
      </c>
      <c r="L89" s="774"/>
    </row>
    <row r="90" spans="1:12" ht="91.5" customHeight="1">
      <c r="A90" s="651"/>
      <c r="B90" s="654" t="s">
        <v>162</v>
      </c>
      <c r="C90" s="653" t="s">
        <v>8</v>
      </c>
      <c r="D90" s="560">
        <v>100</v>
      </c>
      <c r="E90" s="560">
        <v>100</v>
      </c>
      <c r="F90" s="560">
        <v>100</v>
      </c>
      <c r="G90" s="560">
        <v>100</v>
      </c>
      <c r="H90" s="560">
        <v>100</v>
      </c>
      <c r="I90" s="560">
        <f t="shared" si="3"/>
        <v>100</v>
      </c>
      <c r="J90" s="560">
        <f t="shared" si="6"/>
        <v>100</v>
      </c>
      <c r="K90" s="782">
        <f t="shared" si="5"/>
        <v>0</v>
      </c>
      <c r="L90" s="774"/>
    </row>
    <row r="91" spans="1:12" ht="75.75" customHeight="1">
      <c r="A91" s="651"/>
      <c r="B91" s="654" t="s">
        <v>163</v>
      </c>
      <c r="C91" s="653" t="s">
        <v>8</v>
      </c>
      <c r="D91" s="572">
        <v>64.05</v>
      </c>
      <c r="E91" s="573">
        <v>64.05</v>
      </c>
      <c r="F91" s="560">
        <v>75</v>
      </c>
      <c r="G91" s="559">
        <v>70</v>
      </c>
      <c r="H91" s="559">
        <v>70</v>
      </c>
      <c r="I91" s="560">
        <f t="shared" si="3"/>
        <v>93.33333333333333</v>
      </c>
      <c r="J91" s="560">
        <f t="shared" si="6"/>
        <v>109.28961748633881</v>
      </c>
      <c r="K91" s="782">
        <f t="shared" si="5"/>
        <v>5</v>
      </c>
      <c r="L91" s="774"/>
    </row>
    <row r="92" spans="1:12" s="745" customFormat="1" ht="39.75" customHeight="1">
      <c r="A92" s="755">
        <v>6</v>
      </c>
      <c r="B92" s="756" t="s">
        <v>208</v>
      </c>
      <c r="C92" s="757"/>
      <c r="D92" s="638"/>
      <c r="E92" s="638"/>
      <c r="F92" s="640"/>
      <c r="G92" s="638"/>
      <c r="H92" s="638"/>
      <c r="I92" s="640"/>
      <c r="J92" s="640"/>
      <c r="K92" s="785">
        <f t="shared" si="5"/>
        <v>0</v>
      </c>
      <c r="L92" s="872" t="s">
        <v>359</v>
      </c>
    </row>
    <row r="93" spans="1:12" s="745" customFormat="1" ht="57" customHeight="1">
      <c r="A93" s="758" t="s">
        <v>9</v>
      </c>
      <c r="B93" s="759" t="s">
        <v>323</v>
      </c>
      <c r="C93" s="754" t="s">
        <v>8</v>
      </c>
      <c r="D93" s="638"/>
      <c r="E93" s="638"/>
      <c r="F93" s="640">
        <v>83.3</v>
      </c>
      <c r="G93" s="638"/>
      <c r="H93" s="638"/>
      <c r="I93" s="640">
        <f t="shared" si="3"/>
        <v>0</v>
      </c>
      <c r="J93" s="640"/>
      <c r="K93" s="785">
        <f t="shared" si="5"/>
        <v>83.3</v>
      </c>
      <c r="L93" s="872"/>
    </row>
    <row r="94" spans="1:12" s="745" customFormat="1" ht="39.75" customHeight="1">
      <c r="A94" s="755" t="s">
        <v>9</v>
      </c>
      <c r="B94" s="756" t="s">
        <v>320</v>
      </c>
      <c r="C94" s="757" t="s">
        <v>321</v>
      </c>
      <c r="D94" s="638"/>
      <c r="E94" s="638"/>
      <c r="F94" s="639">
        <v>5</v>
      </c>
      <c r="G94" s="638"/>
      <c r="H94" s="638"/>
      <c r="I94" s="640">
        <f t="shared" si="3"/>
        <v>0</v>
      </c>
      <c r="J94" s="640"/>
      <c r="K94" s="785">
        <f t="shared" si="5"/>
        <v>5</v>
      </c>
      <c r="L94" s="872"/>
    </row>
    <row r="95" spans="1:12" s="745" customFormat="1" ht="39.75" customHeight="1">
      <c r="A95" s="755" t="s">
        <v>9</v>
      </c>
      <c r="B95" s="756" t="s">
        <v>319</v>
      </c>
      <c r="C95" s="757" t="s">
        <v>8</v>
      </c>
      <c r="D95" s="638"/>
      <c r="E95" s="638"/>
      <c r="F95" s="639">
        <v>85</v>
      </c>
      <c r="G95" s="638"/>
      <c r="H95" s="638"/>
      <c r="I95" s="640">
        <f aca="true" t="shared" si="7" ref="I95:I118">H95/F95*100</f>
        <v>0</v>
      </c>
      <c r="J95" s="640"/>
      <c r="K95" s="785">
        <f t="shared" si="5"/>
        <v>85</v>
      </c>
      <c r="L95" s="872"/>
    </row>
    <row r="96" spans="1:12" s="745" customFormat="1" ht="39.75" customHeight="1">
      <c r="A96" s="755" t="s">
        <v>9</v>
      </c>
      <c r="B96" s="756" t="s">
        <v>322</v>
      </c>
      <c r="C96" s="757" t="s">
        <v>8</v>
      </c>
      <c r="D96" s="638"/>
      <c r="E96" s="638"/>
      <c r="F96" s="639">
        <v>70.9</v>
      </c>
      <c r="G96" s="638"/>
      <c r="H96" s="638"/>
      <c r="I96" s="640">
        <f t="shared" si="7"/>
        <v>0</v>
      </c>
      <c r="J96" s="640"/>
      <c r="K96" s="785">
        <f t="shared" si="5"/>
        <v>70.9</v>
      </c>
      <c r="L96" s="872"/>
    </row>
    <row r="97" spans="1:12" ht="39.75" customHeight="1">
      <c r="A97" s="655">
        <v>7</v>
      </c>
      <c r="B97" s="624" t="s">
        <v>209</v>
      </c>
      <c r="C97" s="630" t="s">
        <v>8</v>
      </c>
      <c r="D97" s="559">
        <v>100</v>
      </c>
      <c r="E97" s="559">
        <v>100</v>
      </c>
      <c r="F97" s="566">
        <v>100</v>
      </c>
      <c r="G97" s="559"/>
      <c r="H97" s="559">
        <v>100</v>
      </c>
      <c r="I97" s="560">
        <f t="shared" si="7"/>
        <v>100</v>
      </c>
      <c r="J97" s="560">
        <f aca="true" t="shared" si="8" ref="J97:J109">H97/D97*100</f>
        <v>100</v>
      </c>
      <c r="K97" s="782">
        <f t="shared" si="5"/>
        <v>0</v>
      </c>
      <c r="L97" s="774"/>
    </row>
    <row r="98" spans="1:12" s="745" customFormat="1" ht="39.75" customHeight="1">
      <c r="A98" s="760">
        <v>8</v>
      </c>
      <c r="B98" s="761" t="s">
        <v>210</v>
      </c>
      <c r="C98" s="754" t="s">
        <v>8</v>
      </c>
      <c r="D98" s="638"/>
      <c r="E98" s="638"/>
      <c r="F98" s="640">
        <v>94.6</v>
      </c>
      <c r="G98" s="638"/>
      <c r="H98" s="638">
        <v>93.74</v>
      </c>
      <c r="I98" s="640">
        <f t="shared" si="7"/>
        <v>99.0909090909091</v>
      </c>
      <c r="J98" s="640"/>
      <c r="K98" s="785">
        <f t="shared" si="5"/>
        <v>0.8599999999999994</v>
      </c>
      <c r="L98" s="872" t="s">
        <v>360</v>
      </c>
    </row>
    <row r="99" spans="1:12" s="745" customFormat="1" ht="39.75" customHeight="1">
      <c r="A99" s="760">
        <v>9</v>
      </c>
      <c r="B99" s="761" t="s">
        <v>211</v>
      </c>
      <c r="C99" s="754" t="s">
        <v>8</v>
      </c>
      <c r="D99" s="638"/>
      <c r="E99" s="638"/>
      <c r="F99" s="640">
        <v>99.1</v>
      </c>
      <c r="G99" s="638"/>
      <c r="H99" s="638">
        <v>98.29</v>
      </c>
      <c r="I99" s="640">
        <f t="shared" si="7"/>
        <v>99.18264379414734</v>
      </c>
      <c r="J99" s="640"/>
      <c r="K99" s="785">
        <f t="shared" si="5"/>
        <v>0.8099999999999881</v>
      </c>
      <c r="L99" s="872"/>
    </row>
    <row r="100" spans="1:12" ht="39.75" customHeight="1">
      <c r="A100" s="600" t="s">
        <v>26</v>
      </c>
      <c r="B100" s="601" t="s">
        <v>151</v>
      </c>
      <c r="C100" s="601"/>
      <c r="D100" s="559"/>
      <c r="E100" s="559"/>
      <c r="F100" s="560"/>
      <c r="G100" s="559"/>
      <c r="H100" s="559"/>
      <c r="I100" s="560"/>
      <c r="J100" s="560"/>
      <c r="K100" s="782">
        <f t="shared" si="5"/>
        <v>0</v>
      </c>
      <c r="L100" s="774"/>
    </row>
    <row r="101" spans="1:12" s="728" customFormat="1" ht="57" customHeight="1">
      <c r="A101" s="626">
        <v>1</v>
      </c>
      <c r="B101" s="627" t="s">
        <v>212</v>
      </c>
      <c r="C101" s="628" t="s">
        <v>8</v>
      </c>
      <c r="D101" s="725">
        <v>52.5</v>
      </c>
      <c r="E101" s="725">
        <v>55</v>
      </c>
      <c r="F101" s="726">
        <v>60</v>
      </c>
      <c r="G101" s="725"/>
      <c r="H101" s="725">
        <v>57.5</v>
      </c>
      <c r="I101" s="727">
        <f t="shared" si="7"/>
        <v>95.83333333333334</v>
      </c>
      <c r="J101" s="727">
        <f t="shared" si="8"/>
        <v>109.52380952380953</v>
      </c>
      <c r="K101" s="789">
        <f t="shared" si="5"/>
        <v>2.5</v>
      </c>
      <c r="L101" s="778"/>
    </row>
    <row r="102" spans="1:12" s="728" customFormat="1" ht="52.5" customHeight="1">
      <c r="A102" s="626">
        <v>2</v>
      </c>
      <c r="B102" s="627" t="s">
        <v>179</v>
      </c>
      <c r="C102" s="628" t="s">
        <v>8</v>
      </c>
      <c r="D102" s="725"/>
      <c r="E102" s="725"/>
      <c r="F102" s="726">
        <v>100</v>
      </c>
      <c r="G102" s="725"/>
      <c r="H102" s="725"/>
      <c r="I102" s="727">
        <f t="shared" si="7"/>
        <v>0</v>
      </c>
      <c r="J102" s="727"/>
      <c r="K102" s="789">
        <f t="shared" si="5"/>
        <v>100</v>
      </c>
      <c r="L102" s="778"/>
    </row>
    <row r="103" spans="1:12" s="728" customFormat="1" ht="39.75" customHeight="1">
      <c r="A103" s="626">
        <v>3</v>
      </c>
      <c r="B103" s="656" t="s">
        <v>213</v>
      </c>
      <c r="C103" s="628" t="s">
        <v>8</v>
      </c>
      <c r="D103" s="725">
        <v>100</v>
      </c>
      <c r="E103" s="725">
        <v>100</v>
      </c>
      <c r="F103" s="726">
        <v>100</v>
      </c>
      <c r="G103" s="725"/>
      <c r="H103" s="725">
        <v>100</v>
      </c>
      <c r="I103" s="727">
        <f t="shared" si="7"/>
        <v>100</v>
      </c>
      <c r="J103" s="727">
        <f t="shared" si="8"/>
        <v>100</v>
      </c>
      <c r="K103" s="789">
        <f t="shared" si="5"/>
        <v>0</v>
      </c>
      <c r="L103" s="778"/>
    </row>
    <row r="104" spans="1:12" s="728" customFormat="1" ht="39.75" customHeight="1">
      <c r="A104" s="626">
        <v>4</v>
      </c>
      <c r="B104" s="657" t="s">
        <v>214</v>
      </c>
      <c r="C104" s="628" t="s">
        <v>8</v>
      </c>
      <c r="D104" s="725">
        <v>75.5</v>
      </c>
      <c r="E104" s="725">
        <v>76</v>
      </c>
      <c r="F104" s="726">
        <v>77</v>
      </c>
      <c r="G104" s="725"/>
      <c r="H104" s="725">
        <v>76.5</v>
      </c>
      <c r="I104" s="727">
        <f t="shared" si="7"/>
        <v>99.35064935064936</v>
      </c>
      <c r="J104" s="727">
        <f t="shared" si="8"/>
        <v>101.32450331125828</v>
      </c>
      <c r="K104" s="789">
        <f t="shared" si="5"/>
        <v>0.5</v>
      </c>
      <c r="L104" s="778"/>
    </row>
    <row r="105" spans="1:12" s="728" customFormat="1" ht="39.75" customHeight="1">
      <c r="A105" s="626">
        <v>5</v>
      </c>
      <c r="B105" s="658" t="s">
        <v>215</v>
      </c>
      <c r="C105" s="628" t="s">
        <v>8</v>
      </c>
      <c r="D105" s="725">
        <v>0</v>
      </c>
      <c r="E105" s="725">
        <v>0</v>
      </c>
      <c r="F105" s="726">
        <v>100</v>
      </c>
      <c r="G105" s="725"/>
      <c r="H105" s="725">
        <v>0</v>
      </c>
      <c r="I105" s="727">
        <f t="shared" si="7"/>
        <v>0</v>
      </c>
      <c r="J105" s="727"/>
      <c r="K105" s="789">
        <f t="shared" si="5"/>
        <v>100</v>
      </c>
      <c r="L105" s="778"/>
    </row>
    <row r="106" spans="1:12" ht="39.75" customHeight="1">
      <c r="A106" s="659" t="s">
        <v>128</v>
      </c>
      <c r="B106" s="660" t="s">
        <v>216</v>
      </c>
      <c r="C106" s="660"/>
      <c r="D106" s="559"/>
      <c r="E106" s="559"/>
      <c r="F106" s="566"/>
      <c r="G106" s="559"/>
      <c r="H106" s="559"/>
      <c r="I106" s="560"/>
      <c r="J106" s="560"/>
      <c r="K106" s="782">
        <f t="shared" si="5"/>
        <v>0</v>
      </c>
      <c r="L106" s="774"/>
    </row>
    <row r="107" spans="1:12" s="745" customFormat="1" ht="46.5">
      <c r="A107" s="746">
        <v>1</v>
      </c>
      <c r="B107" s="759" t="s">
        <v>217</v>
      </c>
      <c r="C107" s="751" t="s">
        <v>8</v>
      </c>
      <c r="D107" s="762" t="s">
        <v>361</v>
      </c>
      <c r="E107" s="762" t="s">
        <v>362</v>
      </c>
      <c r="F107" s="639"/>
      <c r="G107" s="638"/>
      <c r="H107" s="762" t="s">
        <v>361</v>
      </c>
      <c r="I107" s="640"/>
      <c r="J107" s="640"/>
      <c r="K107" s="790" t="s">
        <v>363</v>
      </c>
      <c r="L107" s="871"/>
    </row>
    <row r="108" spans="1:12" s="745" customFormat="1" ht="39.75" customHeight="1">
      <c r="A108" s="746">
        <v>2</v>
      </c>
      <c r="B108" s="763" t="s">
        <v>218</v>
      </c>
      <c r="C108" s="751" t="s">
        <v>8</v>
      </c>
      <c r="D108" s="638">
        <v>73.3</v>
      </c>
      <c r="E108" s="638">
        <v>90</v>
      </c>
      <c r="F108" s="639">
        <v>75</v>
      </c>
      <c r="G108" s="638"/>
      <c r="H108" s="638">
        <v>90</v>
      </c>
      <c r="I108" s="640">
        <f t="shared" si="7"/>
        <v>120</v>
      </c>
      <c r="J108" s="640">
        <f t="shared" si="8"/>
        <v>122.7830832196453</v>
      </c>
      <c r="K108" s="785"/>
      <c r="L108" s="871"/>
    </row>
    <row r="109" spans="1:12" s="745" customFormat="1" ht="46.5">
      <c r="A109" s="746">
        <v>3</v>
      </c>
      <c r="B109" s="763" t="s">
        <v>283</v>
      </c>
      <c r="C109" s="751" t="s">
        <v>8</v>
      </c>
      <c r="D109" s="638">
        <v>66.7</v>
      </c>
      <c r="E109" s="638">
        <v>85.7</v>
      </c>
      <c r="F109" s="639">
        <v>90</v>
      </c>
      <c r="G109" s="638"/>
      <c r="H109" s="638">
        <v>80</v>
      </c>
      <c r="I109" s="640">
        <f t="shared" si="7"/>
        <v>88.88888888888889</v>
      </c>
      <c r="J109" s="640">
        <f t="shared" si="8"/>
        <v>119.9400299850075</v>
      </c>
      <c r="K109" s="785">
        <f t="shared" si="5"/>
        <v>10</v>
      </c>
      <c r="L109" s="871"/>
    </row>
    <row r="110" spans="1:12" ht="39.75" customHeight="1">
      <c r="A110" s="534" t="s">
        <v>312</v>
      </c>
      <c r="B110" s="535" t="s">
        <v>329</v>
      </c>
      <c r="C110" s="535"/>
      <c r="D110" s="559"/>
      <c r="E110" s="559"/>
      <c r="F110" s="560"/>
      <c r="G110" s="559"/>
      <c r="H110" s="559"/>
      <c r="I110" s="560"/>
      <c r="J110" s="560"/>
      <c r="K110" s="782">
        <f t="shared" si="5"/>
        <v>0</v>
      </c>
      <c r="L110" s="774"/>
    </row>
    <row r="111" spans="1:12" s="549" customFormat="1" ht="39.75" customHeight="1">
      <c r="A111" s="536" t="s">
        <v>3</v>
      </c>
      <c r="B111" s="537" t="s">
        <v>330</v>
      </c>
      <c r="C111" s="538" t="s">
        <v>4</v>
      </c>
      <c r="D111" s="661"/>
      <c r="E111" s="662"/>
      <c r="F111" s="563">
        <f>F112+F113</f>
        <v>537</v>
      </c>
      <c r="G111" s="563">
        <f>G112+G113</f>
        <v>512</v>
      </c>
      <c r="H111" s="563">
        <f>H112+H113</f>
        <v>516</v>
      </c>
      <c r="I111" s="564">
        <f t="shared" si="7"/>
        <v>96.08938547486034</v>
      </c>
      <c r="J111" s="564"/>
      <c r="K111" s="792">
        <f t="shared" si="5"/>
        <v>21</v>
      </c>
      <c r="L111" s="779"/>
    </row>
    <row r="112" spans="1:12" ht="39.75" customHeight="1">
      <c r="A112" s="539">
        <v>1</v>
      </c>
      <c r="B112" s="540" t="s">
        <v>331</v>
      </c>
      <c r="C112" s="541" t="s">
        <v>4</v>
      </c>
      <c r="D112" s="663"/>
      <c r="E112" s="634"/>
      <c r="F112" s="566">
        <v>537</v>
      </c>
      <c r="G112" s="559">
        <f>477+35</f>
        <v>512</v>
      </c>
      <c r="H112" s="559">
        <f>480+36</f>
        <v>516</v>
      </c>
      <c r="I112" s="560">
        <f t="shared" si="7"/>
        <v>96.08938547486034</v>
      </c>
      <c r="J112" s="560"/>
      <c r="K112" s="782">
        <f t="shared" si="5"/>
        <v>21</v>
      </c>
      <c r="L112" s="774"/>
    </row>
    <row r="113" spans="1:12" ht="39.75" customHeight="1">
      <c r="A113" s="539">
        <v>2</v>
      </c>
      <c r="B113" s="540" t="s">
        <v>332</v>
      </c>
      <c r="C113" s="541" t="s">
        <v>4</v>
      </c>
      <c r="D113" s="634"/>
      <c r="E113" s="634"/>
      <c r="F113" s="566">
        <v>0</v>
      </c>
      <c r="G113" s="559">
        <v>0</v>
      </c>
      <c r="H113" s="559">
        <v>0</v>
      </c>
      <c r="I113" s="560"/>
      <c r="J113" s="560"/>
      <c r="K113" s="782">
        <f t="shared" si="5"/>
        <v>0</v>
      </c>
      <c r="L113" s="774"/>
    </row>
    <row r="114" spans="1:12" s="549" customFormat="1" ht="39.75" customHeight="1">
      <c r="A114" s="536" t="s">
        <v>16</v>
      </c>
      <c r="B114" s="537" t="s">
        <v>333</v>
      </c>
      <c r="C114" s="538" t="s">
        <v>4</v>
      </c>
      <c r="D114" s="661"/>
      <c r="E114" s="664"/>
      <c r="F114" s="564">
        <f>F115+F116</f>
        <v>1145</v>
      </c>
      <c r="G114" s="564">
        <f>G115+G116</f>
        <v>1174</v>
      </c>
      <c r="H114" s="564">
        <f>H115+H116</f>
        <v>1185</v>
      </c>
      <c r="I114" s="564">
        <f t="shared" si="7"/>
        <v>103.4934497816594</v>
      </c>
      <c r="J114" s="564"/>
      <c r="K114" s="792"/>
      <c r="L114" s="779"/>
    </row>
    <row r="115" spans="1:12" ht="39.75" customHeight="1">
      <c r="A115" s="539">
        <v>1</v>
      </c>
      <c r="B115" s="540" t="s">
        <v>334</v>
      </c>
      <c r="C115" s="541" t="s">
        <v>4</v>
      </c>
      <c r="D115" s="634"/>
      <c r="E115" s="634"/>
      <c r="F115" s="566">
        <v>467</v>
      </c>
      <c r="G115" s="559">
        <f>558+2</f>
        <v>560</v>
      </c>
      <c r="H115" s="559">
        <f>560+2</f>
        <v>562</v>
      </c>
      <c r="I115" s="560">
        <f t="shared" si="7"/>
        <v>120.34261241970022</v>
      </c>
      <c r="J115" s="560"/>
      <c r="K115" s="782"/>
      <c r="L115" s="774"/>
    </row>
    <row r="116" spans="1:12" ht="39.75" customHeight="1">
      <c r="A116" s="539">
        <v>2</v>
      </c>
      <c r="B116" s="540" t="s">
        <v>335</v>
      </c>
      <c r="C116" s="541" t="s">
        <v>4</v>
      </c>
      <c r="D116" s="634"/>
      <c r="E116" s="634"/>
      <c r="F116" s="566">
        <v>678</v>
      </c>
      <c r="G116" s="559">
        <f>265+349</f>
        <v>614</v>
      </c>
      <c r="H116" s="559">
        <f>270+353</f>
        <v>623</v>
      </c>
      <c r="I116" s="560">
        <f t="shared" si="7"/>
        <v>91.88790560471976</v>
      </c>
      <c r="J116" s="560"/>
      <c r="K116" s="782">
        <f t="shared" si="5"/>
        <v>55</v>
      </c>
      <c r="L116" s="774"/>
    </row>
    <row r="117" spans="1:12" ht="39.75" customHeight="1">
      <c r="A117" s="539">
        <v>3</v>
      </c>
      <c r="B117" s="540" t="s">
        <v>336</v>
      </c>
      <c r="C117" s="541" t="s">
        <v>4</v>
      </c>
      <c r="D117" s="634"/>
      <c r="E117" s="634"/>
      <c r="F117" s="560">
        <v>4.1</v>
      </c>
      <c r="G117" s="559">
        <f>3.7+0.3</f>
        <v>4</v>
      </c>
      <c r="H117" s="559">
        <f>3+0.3</f>
        <v>3.3</v>
      </c>
      <c r="I117" s="560">
        <f t="shared" si="7"/>
        <v>80.48780487804879</v>
      </c>
      <c r="J117" s="560"/>
      <c r="K117" s="782">
        <f t="shared" si="5"/>
        <v>0.7999999999999998</v>
      </c>
      <c r="L117" s="774"/>
    </row>
    <row r="118" spans="1:12" ht="39.75" customHeight="1">
      <c r="A118" s="542">
        <v>4</v>
      </c>
      <c r="B118" s="543" t="s">
        <v>337</v>
      </c>
      <c r="C118" s="544" t="s">
        <v>8</v>
      </c>
      <c r="D118" s="665"/>
      <c r="E118" s="665"/>
      <c r="F118" s="666">
        <f>F117/F114*100</f>
        <v>0.3580786026200873</v>
      </c>
      <c r="G118" s="666">
        <f>G117/G114*100</f>
        <v>0.34071550255536626</v>
      </c>
      <c r="H118" s="666">
        <f>H117/H114*100</f>
        <v>0.27848101265822783</v>
      </c>
      <c r="I118" s="666">
        <f t="shared" si="7"/>
        <v>77.77091694967582</v>
      </c>
      <c r="J118" s="666"/>
      <c r="K118" s="791">
        <f t="shared" si="5"/>
        <v>0.07959758996185945</v>
      </c>
      <c r="L118" s="780"/>
    </row>
  </sheetData>
  <sheetProtection/>
  <mergeCells count="20">
    <mergeCell ref="L35:L37"/>
    <mergeCell ref="L5:L6"/>
    <mergeCell ref="D5:E5"/>
    <mergeCell ref="A1:K1"/>
    <mergeCell ref="A2:K2"/>
    <mergeCell ref="A3:K3"/>
    <mergeCell ref="A5:A6"/>
    <mergeCell ref="B5:B6"/>
    <mergeCell ref="C5:C6"/>
    <mergeCell ref="F5:H5"/>
    <mergeCell ref="L107:L109"/>
    <mergeCell ref="L39:L40"/>
    <mergeCell ref="L42:L44"/>
    <mergeCell ref="L92:L96"/>
    <mergeCell ref="I5:J5"/>
    <mergeCell ref="K5:K6"/>
    <mergeCell ref="H53:J58"/>
    <mergeCell ref="H46:J47"/>
    <mergeCell ref="H26:J27"/>
    <mergeCell ref="L98:L99"/>
  </mergeCells>
  <printOptions/>
  <pageMargins left="0.29" right="0.21" top="0.37" bottom="0.29" header="0.3" footer="0.3"/>
  <pageSetup horizontalDpi="600" verticalDpi="600" orientation="portrait" paperSize="9" scale="16" r:id="rId1"/>
</worksheet>
</file>

<file path=xl/worksheets/sheet7.xml><?xml version="1.0" encoding="utf-8"?>
<worksheet xmlns="http://schemas.openxmlformats.org/spreadsheetml/2006/main" xmlns:r="http://schemas.openxmlformats.org/officeDocument/2006/relationships">
  <dimension ref="A2:T104"/>
  <sheetViews>
    <sheetView view="pageBreakPreview" zoomScale="60" zoomScaleNormal="85" zoomScalePageLayoutView="0" workbookViewId="0" topLeftCell="A1">
      <pane ySplit="8" topLeftCell="A9" activePane="bottomLeft" state="frozen"/>
      <selection pane="topLeft" activeCell="A1" sqref="A1"/>
      <selection pane="bottomLeft" activeCell="J93" sqref="J93"/>
    </sheetView>
  </sheetViews>
  <sheetFormatPr defaultColWidth="8.796875" defaultRowHeight="18.75"/>
  <cols>
    <col min="1" max="1" width="5.19921875" style="554" customWidth="1"/>
    <col min="2" max="2" width="27.69921875" style="554" customWidth="1"/>
    <col min="3" max="3" width="8.69921875" style="554" customWidth="1"/>
    <col min="4" max="4" width="13.19921875" style="554" customWidth="1"/>
    <col min="5" max="5" width="10.296875" style="554" customWidth="1"/>
    <col min="6" max="6" width="8.796875" style="554" bestFit="1" customWidth="1"/>
    <col min="7" max="7" width="14.09765625" style="554" customWidth="1"/>
    <col min="8" max="8" width="12" style="554" customWidth="1"/>
    <col min="9" max="9" width="10.296875" style="554" customWidth="1"/>
    <col min="10" max="10" width="15.59765625" style="554" customWidth="1"/>
    <col min="11" max="11" width="14.296875" style="545" hidden="1" customWidth="1"/>
    <col min="12" max="16384" width="8.69921875" style="545" customWidth="1"/>
  </cols>
  <sheetData>
    <row r="1" ht="18.75"/>
    <row r="2" spans="1:10" s="546" customFormat="1" ht="18.75">
      <c r="A2" s="889" t="s">
        <v>344</v>
      </c>
      <c r="B2" s="889"/>
      <c r="C2" s="889"/>
      <c r="D2" s="889"/>
      <c r="E2" s="889"/>
      <c r="F2" s="889"/>
      <c r="G2" s="889"/>
      <c r="H2" s="889"/>
      <c r="I2" s="889"/>
      <c r="J2" s="889"/>
    </row>
    <row r="3" spans="1:10" s="546" customFormat="1" ht="18.75">
      <c r="A3" s="889" t="s">
        <v>345</v>
      </c>
      <c r="B3" s="889"/>
      <c r="C3" s="889"/>
      <c r="D3" s="889"/>
      <c r="E3" s="889"/>
      <c r="F3" s="889"/>
      <c r="G3" s="889"/>
      <c r="H3" s="889"/>
      <c r="I3" s="889"/>
      <c r="J3" s="889"/>
    </row>
    <row r="4" spans="1:10" s="547" customFormat="1" ht="18.75">
      <c r="A4" s="890" t="s">
        <v>352</v>
      </c>
      <c r="B4" s="890"/>
      <c r="C4" s="890"/>
      <c r="D4" s="890"/>
      <c r="E4" s="890"/>
      <c r="F4" s="890"/>
      <c r="G4" s="890"/>
      <c r="H4" s="890"/>
      <c r="I4" s="890"/>
      <c r="J4" s="890"/>
    </row>
    <row r="5" spans="6:7" ht="18.75">
      <c r="F5" s="668"/>
      <c r="G5" s="669"/>
    </row>
    <row r="6" ht="18.75"/>
    <row r="7" spans="1:11" ht="30" customHeight="1">
      <c r="A7" s="883" t="s">
        <v>0</v>
      </c>
      <c r="B7" s="873" t="s">
        <v>1</v>
      </c>
      <c r="C7" s="873" t="s">
        <v>326</v>
      </c>
      <c r="D7" s="873" t="s">
        <v>182</v>
      </c>
      <c r="E7" s="873"/>
      <c r="F7" s="873" t="s">
        <v>338</v>
      </c>
      <c r="G7" s="873"/>
      <c r="H7" s="873" t="s">
        <v>327</v>
      </c>
      <c r="I7" s="873"/>
      <c r="J7" s="874" t="s">
        <v>342</v>
      </c>
      <c r="K7" s="886" t="s">
        <v>366</v>
      </c>
    </row>
    <row r="8" spans="1:11" ht="57" customHeight="1">
      <c r="A8" s="884"/>
      <c r="B8" s="885"/>
      <c r="C8" s="885"/>
      <c r="D8" s="533" t="s">
        <v>347</v>
      </c>
      <c r="E8" s="533" t="s">
        <v>346</v>
      </c>
      <c r="F8" s="533" t="s">
        <v>28</v>
      </c>
      <c r="G8" s="533" t="s">
        <v>340</v>
      </c>
      <c r="H8" s="533" t="s">
        <v>220</v>
      </c>
      <c r="I8" s="533" t="s">
        <v>341</v>
      </c>
      <c r="J8" s="875"/>
      <c r="K8" s="887"/>
    </row>
    <row r="9" spans="1:11" s="546" customFormat="1" ht="39.75" customHeight="1">
      <c r="A9" s="670" t="s">
        <v>30</v>
      </c>
      <c r="B9" s="557" t="s">
        <v>94</v>
      </c>
      <c r="C9" s="557"/>
      <c r="D9" s="557"/>
      <c r="E9" s="557"/>
      <c r="F9" s="557"/>
      <c r="G9" s="557"/>
      <c r="H9" s="557"/>
      <c r="I9" s="557"/>
      <c r="J9" s="803"/>
      <c r="K9" s="793"/>
    </row>
    <row r="10" spans="1:11" s="546" customFormat="1" ht="39.75" customHeight="1" thickBot="1">
      <c r="A10" s="670"/>
      <c r="B10" s="557" t="s">
        <v>96</v>
      </c>
      <c r="C10" s="677" t="s">
        <v>97</v>
      </c>
      <c r="D10" s="683">
        <f>D14+D27+D36+D39+D42+D57</f>
        <v>11045.13</v>
      </c>
      <c r="E10" s="683">
        <f>E14+E27+E36+E39+E42+E57</f>
        <v>11979.906</v>
      </c>
      <c r="F10" s="678">
        <v>12380</v>
      </c>
      <c r="G10" s="678">
        <f>G14+G27+G36+G39+G42+G57</f>
        <v>11345.15</v>
      </c>
      <c r="H10" s="683">
        <f>G10/F10*100</f>
        <v>91.64095315024232</v>
      </c>
      <c r="I10" s="683">
        <f>G10/D10*100</f>
        <v>102.71631026524813</v>
      </c>
      <c r="J10" s="804">
        <f>F10-G10</f>
        <v>1034.8500000000004</v>
      </c>
      <c r="K10" s="793"/>
    </row>
    <row r="11" spans="1:20" ht="39.75" customHeight="1" thickBot="1">
      <c r="A11" s="671"/>
      <c r="B11" s="558" t="s">
        <v>10</v>
      </c>
      <c r="C11" s="816" t="s">
        <v>32</v>
      </c>
      <c r="D11" s="690">
        <f>D19+D32</f>
        <v>3233.7000000000003</v>
      </c>
      <c r="E11" s="690">
        <f>E19+E32</f>
        <v>3059.4</v>
      </c>
      <c r="F11" s="691">
        <v>12793</v>
      </c>
      <c r="G11" s="690">
        <f>G19+G32</f>
        <v>3375.7</v>
      </c>
      <c r="H11" s="673">
        <f>G11/F11*100</f>
        <v>26.387086688032518</v>
      </c>
      <c r="I11" s="673">
        <f>G11/D11*100</f>
        <v>104.39125459999381</v>
      </c>
      <c r="J11" s="805">
        <f>F11-G11</f>
        <v>9417.3</v>
      </c>
      <c r="K11" s="794"/>
      <c r="L11" s="575"/>
      <c r="M11" s="575"/>
      <c r="O11" s="701">
        <f>D17+D30+D40</f>
        <v>871.8000000000001</v>
      </c>
      <c r="P11" s="701">
        <f>E17+E30+E40</f>
        <v>872.2</v>
      </c>
      <c r="Q11" s="701">
        <f>F17+F30+F40</f>
        <v>875</v>
      </c>
      <c r="R11" s="701">
        <f>G17+G30+G40</f>
        <v>901.2</v>
      </c>
      <c r="S11" s="545">
        <f>(R11/Q11)*100</f>
        <v>102.99428571428572</v>
      </c>
      <c r="T11" s="545">
        <f>R11/O11*100</f>
        <v>103.37233310392291</v>
      </c>
    </row>
    <row r="12" spans="1:18" s="547" customFormat="1" ht="39.75" customHeight="1">
      <c r="A12" s="674"/>
      <c r="B12" s="561" t="s">
        <v>33</v>
      </c>
      <c r="C12" s="675" t="s">
        <v>32</v>
      </c>
      <c r="D12" s="684"/>
      <c r="E12" s="684"/>
      <c r="F12" s="676">
        <v>12143</v>
      </c>
      <c r="G12" s="684">
        <f>G19</f>
        <v>3308.1</v>
      </c>
      <c r="H12" s="684">
        <f>G12/F12*100</f>
        <v>27.24285596640039</v>
      </c>
      <c r="I12" s="684"/>
      <c r="J12" s="806">
        <f>F12-G12</f>
        <v>8834.9</v>
      </c>
      <c r="K12" s="795"/>
      <c r="L12" s="576"/>
      <c r="M12" s="576"/>
      <c r="N12" s="576"/>
      <c r="O12" s="576">
        <f>D20+D33+D36+D41</f>
        <v>6419.2</v>
      </c>
      <c r="P12" s="576">
        <f>E20+E33+E36+E41</f>
        <v>6773</v>
      </c>
      <c r="Q12" s="576">
        <f>F20+F33+F36+F41</f>
        <v>6625</v>
      </c>
      <c r="R12" s="576">
        <f>G20+G33+G36+G41</f>
        <v>5930.6</v>
      </c>
    </row>
    <row r="13" spans="1:11" s="546" customFormat="1" ht="39.75" customHeight="1">
      <c r="A13" s="670">
        <v>1</v>
      </c>
      <c r="B13" s="557" t="s">
        <v>34</v>
      </c>
      <c r="C13" s="677" t="s">
        <v>97</v>
      </c>
      <c r="D13" s="683">
        <f>D14+D27</f>
        <v>3520.7999999999997</v>
      </c>
      <c r="E13" s="683">
        <f>E14+E27</f>
        <v>3617.2</v>
      </c>
      <c r="F13" s="683">
        <f>F14+F27</f>
        <v>3580</v>
      </c>
      <c r="G13" s="683">
        <f>G14+G27</f>
        <v>3021.1000000000004</v>
      </c>
      <c r="H13" s="683">
        <f>G13/F13*100</f>
        <v>84.3882681564246</v>
      </c>
      <c r="I13" s="683">
        <f>G13/D13*100</f>
        <v>85.80720290842993</v>
      </c>
      <c r="J13" s="804">
        <f>F13-G13</f>
        <v>558.8999999999996</v>
      </c>
      <c r="K13" s="796"/>
    </row>
    <row r="14" spans="1:11" s="547" customFormat="1" ht="39.75" customHeight="1">
      <c r="A14" s="674" t="s">
        <v>98</v>
      </c>
      <c r="B14" s="561" t="s">
        <v>36</v>
      </c>
      <c r="C14" s="675" t="s">
        <v>97</v>
      </c>
      <c r="D14" s="684">
        <f>D17+D20</f>
        <v>3424.6</v>
      </c>
      <c r="E14" s="684">
        <f>E17+E20</f>
        <v>3440</v>
      </c>
      <c r="F14" s="684">
        <f>F17+F20</f>
        <v>3430</v>
      </c>
      <c r="G14" s="684">
        <f>G17+G20</f>
        <v>2923.3</v>
      </c>
      <c r="H14" s="684">
        <f>G14/F14*100</f>
        <v>85.22740524781341</v>
      </c>
      <c r="I14" s="684">
        <f>G14/D14*100</f>
        <v>85.36179407814052</v>
      </c>
      <c r="J14" s="806"/>
      <c r="K14" s="795"/>
    </row>
    <row r="15" spans="1:11" ht="39.75" customHeight="1">
      <c r="A15" s="671"/>
      <c r="B15" s="558" t="s">
        <v>37</v>
      </c>
      <c r="C15" s="816" t="s">
        <v>38</v>
      </c>
      <c r="D15" s="673"/>
      <c r="E15" s="673">
        <v>34.63</v>
      </c>
      <c r="F15" s="673">
        <v>35.4</v>
      </c>
      <c r="G15" s="673"/>
      <c r="H15" s="673"/>
      <c r="I15" s="673"/>
      <c r="J15" s="805"/>
      <c r="K15" s="794"/>
    </row>
    <row r="16" spans="1:11" ht="39.75" customHeight="1">
      <c r="A16" s="671"/>
      <c r="B16" s="558" t="s">
        <v>39</v>
      </c>
      <c r="C16" s="816" t="s">
        <v>11</v>
      </c>
      <c r="D16" s="673">
        <f>D19+D23</f>
        <v>3187.4</v>
      </c>
      <c r="E16" s="673">
        <f>E19+E23</f>
        <v>10712.4</v>
      </c>
      <c r="F16" s="673">
        <f>F19+F23</f>
        <v>10920</v>
      </c>
      <c r="G16" s="673">
        <f>G19+G23</f>
        <v>3308.1</v>
      </c>
      <c r="H16" s="673">
        <f aca="true" t="shared" si="0" ref="H16:H48">G16/F16*100</f>
        <v>30.293956043956044</v>
      </c>
      <c r="I16" s="673">
        <f aca="true" t="shared" si="1" ref="I16:I21">G16/D16*100</f>
        <v>103.78678546777937</v>
      </c>
      <c r="J16" s="805"/>
      <c r="K16" s="794"/>
    </row>
    <row r="17" spans="1:16" ht="39.75" customHeight="1">
      <c r="A17" s="671" t="s">
        <v>35</v>
      </c>
      <c r="B17" s="558" t="s">
        <v>174</v>
      </c>
      <c r="C17" s="816" t="s">
        <v>97</v>
      </c>
      <c r="D17" s="673">
        <v>819.6</v>
      </c>
      <c r="E17" s="673">
        <v>820</v>
      </c>
      <c r="F17" s="672">
        <v>825</v>
      </c>
      <c r="G17" s="673">
        <v>843</v>
      </c>
      <c r="H17" s="673">
        <f t="shared" si="0"/>
        <v>102.18181818181817</v>
      </c>
      <c r="I17" s="673">
        <f t="shared" si="1"/>
        <v>102.85505124450951</v>
      </c>
      <c r="J17" s="805"/>
      <c r="K17" s="797">
        <f>D17+D30+D40+D36</f>
        <v>4539</v>
      </c>
      <c r="L17" s="701">
        <f>E17+E30+E40+E36</f>
        <v>4772.2</v>
      </c>
      <c r="M17" s="701">
        <f>F17+F30+F40+F36</f>
        <v>4675</v>
      </c>
      <c r="N17" s="701">
        <f>G17+G30+G40+G36</f>
        <v>4606.9</v>
      </c>
      <c r="O17" s="545">
        <f>N17/M17*100</f>
        <v>98.54331550802138</v>
      </c>
      <c r="P17" s="545">
        <f>N17/K17*100</f>
        <v>101.49592421238158</v>
      </c>
    </row>
    <row r="18" spans="1:15" ht="39.75" customHeight="1">
      <c r="A18" s="671"/>
      <c r="B18" s="558" t="s">
        <v>37</v>
      </c>
      <c r="C18" s="816" t="s">
        <v>38</v>
      </c>
      <c r="D18" s="684">
        <v>38.8</v>
      </c>
      <c r="E18" s="684">
        <v>34</v>
      </c>
      <c r="F18" s="672">
        <v>39</v>
      </c>
      <c r="G18" s="558">
        <v>39.24</v>
      </c>
      <c r="H18" s="673">
        <f t="shared" si="0"/>
        <v>100.61538461538461</v>
      </c>
      <c r="I18" s="673">
        <f t="shared" si="1"/>
        <v>101.13402061855672</v>
      </c>
      <c r="J18" s="805"/>
      <c r="K18" s="798"/>
      <c r="L18" s="770"/>
      <c r="M18" s="678"/>
      <c r="N18" s="683"/>
      <c r="O18" s="683"/>
    </row>
    <row r="19" spans="1:11" ht="39.75" customHeight="1">
      <c r="A19" s="671"/>
      <c r="B19" s="558" t="s">
        <v>39</v>
      </c>
      <c r="C19" s="816" t="s">
        <v>11</v>
      </c>
      <c r="D19" s="684">
        <v>3187.4</v>
      </c>
      <c r="E19" s="684">
        <v>3012.4</v>
      </c>
      <c r="F19" s="672">
        <v>3220</v>
      </c>
      <c r="G19" s="690">
        <v>3308.1</v>
      </c>
      <c r="H19" s="673">
        <f t="shared" si="0"/>
        <v>102.73602484472049</v>
      </c>
      <c r="I19" s="673">
        <f t="shared" si="1"/>
        <v>103.78678546777937</v>
      </c>
      <c r="J19" s="805"/>
      <c r="K19" s="794"/>
    </row>
    <row r="20" spans="1:11" ht="39.75" customHeight="1">
      <c r="A20" s="671" t="s">
        <v>43</v>
      </c>
      <c r="B20" s="558" t="s">
        <v>40</v>
      </c>
      <c r="C20" s="816" t="s">
        <v>97</v>
      </c>
      <c r="D20" s="673">
        <f>D21+D24</f>
        <v>2605</v>
      </c>
      <c r="E20" s="673">
        <f>E21+E24</f>
        <v>2620</v>
      </c>
      <c r="F20" s="672">
        <v>2605</v>
      </c>
      <c r="G20" s="673">
        <f>G21+G24</f>
        <v>2080.3</v>
      </c>
      <c r="H20" s="673">
        <f t="shared" si="0"/>
        <v>79.85796545105566</v>
      </c>
      <c r="I20" s="673">
        <f t="shared" si="1"/>
        <v>79.85796545105566</v>
      </c>
      <c r="J20" s="805">
        <f>F20-G20</f>
        <v>524.6999999999998</v>
      </c>
      <c r="K20" s="794"/>
    </row>
    <row r="21" spans="1:11" ht="39.75" customHeight="1">
      <c r="A21" s="671"/>
      <c r="B21" s="558" t="s">
        <v>41</v>
      </c>
      <c r="C21" s="816" t="s">
        <v>97</v>
      </c>
      <c r="D21" s="673">
        <v>1870</v>
      </c>
      <c r="E21" s="673">
        <v>1870</v>
      </c>
      <c r="F21" s="672">
        <v>1870</v>
      </c>
      <c r="G21" s="673">
        <v>1370</v>
      </c>
      <c r="H21" s="673">
        <f t="shared" si="0"/>
        <v>73.2620320855615</v>
      </c>
      <c r="I21" s="673">
        <f t="shared" si="1"/>
        <v>73.2620320855615</v>
      </c>
      <c r="J21" s="805">
        <f>F21-G21</f>
        <v>500</v>
      </c>
      <c r="K21" s="794"/>
    </row>
    <row r="22" spans="1:11" ht="39.75" customHeight="1">
      <c r="A22" s="671"/>
      <c r="B22" s="558" t="s">
        <v>37</v>
      </c>
      <c r="C22" s="816" t="s">
        <v>38</v>
      </c>
      <c r="D22" s="684"/>
      <c r="E22" s="684">
        <v>41.2</v>
      </c>
      <c r="F22" s="673">
        <v>41.2</v>
      </c>
      <c r="G22" s="684"/>
      <c r="H22" s="673">
        <f t="shared" si="0"/>
        <v>0</v>
      </c>
      <c r="I22" s="673"/>
      <c r="J22" s="805"/>
      <c r="K22" s="794"/>
    </row>
    <row r="23" spans="1:11" ht="39.75" customHeight="1">
      <c r="A23" s="671"/>
      <c r="B23" s="558" t="s">
        <v>39</v>
      </c>
      <c r="C23" s="816" t="s">
        <v>11</v>
      </c>
      <c r="D23" s="684"/>
      <c r="E23" s="684">
        <v>7700</v>
      </c>
      <c r="F23" s="672">
        <v>7700</v>
      </c>
      <c r="G23" s="684"/>
      <c r="H23" s="673">
        <f t="shared" si="0"/>
        <v>0</v>
      </c>
      <c r="I23" s="673"/>
      <c r="J23" s="805"/>
      <c r="K23" s="794"/>
    </row>
    <row r="24" spans="1:11" ht="39.75" customHeight="1">
      <c r="A24" s="671"/>
      <c r="B24" s="558" t="s">
        <v>42</v>
      </c>
      <c r="C24" s="816" t="s">
        <v>31</v>
      </c>
      <c r="D24" s="673">
        <v>735</v>
      </c>
      <c r="E24" s="673">
        <v>750</v>
      </c>
      <c r="F24" s="672">
        <v>735</v>
      </c>
      <c r="G24" s="673">
        <v>710.3</v>
      </c>
      <c r="H24" s="673">
        <f t="shared" si="0"/>
        <v>96.63945578231292</v>
      </c>
      <c r="I24" s="673">
        <f>G24/D24*100</f>
        <v>96.63945578231292</v>
      </c>
      <c r="J24" s="805">
        <f>F24-G24</f>
        <v>24.700000000000045</v>
      </c>
      <c r="K24" s="794"/>
    </row>
    <row r="25" spans="1:11" ht="39.75" customHeight="1">
      <c r="A25" s="671"/>
      <c r="B25" s="558" t="s">
        <v>37</v>
      </c>
      <c r="C25" s="816" t="s">
        <v>38</v>
      </c>
      <c r="D25" s="684"/>
      <c r="E25" s="684">
        <v>16</v>
      </c>
      <c r="F25" s="673">
        <v>16.6</v>
      </c>
      <c r="G25" s="684"/>
      <c r="H25" s="673">
        <f t="shared" si="0"/>
        <v>0</v>
      </c>
      <c r="I25" s="673"/>
      <c r="J25" s="805"/>
      <c r="K25" s="794"/>
    </row>
    <row r="26" spans="1:11" ht="39.75" customHeight="1">
      <c r="A26" s="671"/>
      <c r="B26" s="558" t="s">
        <v>39</v>
      </c>
      <c r="C26" s="816" t="s">
        <v>11</v>
      </c>
      <c r="D26" s="673"/>
      <c r="E26" s="673">
        <v>1200</v>
      </c>
      <c r="F26" s="672">
        <v>1223</v>
      </c>
      <c r="G26" s="673"/>
      <c r="H26" s="673">
        <f t="shared" si="0"/>
        <v>0</v>
      </c>
      <c r="I26" s="673"/>
      <c r="J26" s="805"/>
      <c r="K26" s="794"/>
    </row>
    <row r="27" spans="1:12" s="547" customFormat="1" ht="39.75" customHeight="1">
      <c r="A27" s="674" t="s">
        <v>100</v>
      </c>
      <c r="B27" s="561" t="s">
        <v>44</v>
      </c>
      <c r="C27" s="675" t="s">
        <v>97</v>
      </c>
      <c r="D27" s="684">
        <f>D30+D33</f>
        <v>96.2</v>
      </c>
      <c r="E27" s="684">
        <f aca="true" t="shared" si="2" ref="E27:J27">E30+E33</f>
        <v>177.2</v>
      </c>
      <c r="F27" s="684">
        <f t="shared" si="2"/>
        <v>150</v>
      </c>
      <c r="G27" s="684">
        <f t="shared" si="2"/>
        <v>97.8</v>
      </c>
      <c r="H27" s="684">
        <f t="shared" si="0"/>
        <v>65.2</v>
      </c>
      <c r="I27" s="684">
        <f>G27/D27*100</f>
        <v>101.66320166320166</v>
      </c>
      <c r="J27" s="806">
        <f t="shared" si="2"/>
        <v>60.400000000000006</v>
      </c>
      <c r="K27" s="795"/>
      <c r="L27" s="576"/>
    </row>
    <row r="28" spans="1:11" ht="39.75" customHeight="1">
      <c r="A28" s="671"/>
      <c r="B28" s="558" t="s">
        <v>37</v>
      </c>
      <c r="C28" s="816" t="s">
        <v>38</v>
      </c>
      <c r="D28" s="673"/>
      <c r="E28" s="673">
        <v>36</v>
      </c>
      <c r="F28" s="672">
        <v>42</v>
      </c>
      <c r="G28" s="673"/>
      <c r="H28" s="673">
        <f t="shared" si="0"/>
        <v>0</v>
      </c>
      <c r="I28" s="673"/>
      <c r="J28" s="805"/>
      <c r="K28" s="794"/>
    </row>
    <row r="29" spans="1:11" ht="39.75" customHeight="1">
      <c r="A29" s="671"/>
      <c r="B29" s="558" t="s">
        <v>39</v>
      </c>
      <c r="C29" s="816" t="s">
        <v>11</v>
      </c>
      <c r="D29" s="673">
        <f>D32+D35</f>
        <v>46.3</v>
      </c>
      <c r="E29" s="673">
        <f>E32+E35</f>
        <v>638</v>
      </c>
      <c r="F29" s="673">
        <f>F32+F35</f>
        <v>649</v>
      </c>
      <c r="G29" s="673">
        <f>G32+G35</f>
        <v>67.6</v>
      </c>
      <c r="H29" s="673">
        <f t="shared" si="0"/>
        <v>10.416024653312789</v>
      </c>
      <c r="I29" s="673">
        <f>G29/D29*100</f>
        <v>146.00431965442763</v>
      </c>
      <c r="J29" s="805"/>
      <c r="K29" s="794"/>
    </row>
    <row r="30" spans="1:12" ht="39.75" customHeight="1">
      <c r="A30" s="671" t="s">
        <v>9</v>
      </c>
      <c r="B30" s="558" t="s">
        <v>45</v>
      </c>
      <c r="C30" s="816" t="s">
        <v>97</v>
      </c>
      <c r="D30" s="673">
        <v>12.2</v>
      </c>
      <c r="E30" s="673">
        <v>12.2</v>
      </c>
      <c r="F30" s="672">
        <v>10</v>
      </c>
      <c r="G30" s="673">
        <v>18.2</v>
      </c>
      <c r="H30" s="673">
        <f t="shared" si="0"/>
        <v>181.99999999999997</v>
      </c>
      <c r="I30" s="673">
        <f>G30/D30*100</f>
        <v>149.18032786885246</v>
      </c>
      <c r="J30" s="805"/>
      <c r="K30" s="794"/>
      <c r="L30" s="701">
        <f>G30+G17</f>
        <v>861.2</v>
      </c>
    </row>
    <row r="31" spans="1:11" ht="39.75" customHeight="1">
      <c r="A31" s="671"/>
      <c r="B31" s="558" t="s">
        <v>37</v>
      </c>
      <c r="C31" s="816" t="s">
        <v>38</v>
      </c>
      <c r="D31" s="558">
        <v>37.95</v>
      </c>
      <c r="E31" s="673">
        <v>38.5</v>
      </c>
      <c r="F31" s="673">
        <v>60.4</v>
      </c>
      <c r="G31" s="558">
        <v>37.14</v>
      </c>
      <c r="H31" s="673">
        <f t="shared" si="0"/>
        <v>61.49006622516556</v>
      </c>
      <c r="I31" s="673">
        <f>G31/D31*100</f>
        <v>97.86561264822133</v>
      </c>
      <c r="J31" s="805"/>
      <c r="K31" s="794"/>
    </row>
    <row r="32" spans="1:11" ht="39.75" customHeight="1">
      <c r="A32" s="671"/>
      <c r="B32" s="558" t="s">
        <v>39</v>
      </c>
      <c r="C32" s="816" t="s">
        <v>11</v>
      </c>
      <c r="D32" s="673">
        <v>46.3</v>
      </c>
      <c r="E32" s="673">
        <v>47</v>
      </c>
      <c r="F32" s="672">
        <v>60</v>
      </c>
      <c r="G32" s="558">
        <v>67.6</v>
      </c>
      <c r="H32" s="673">
        <f t="shared" si="0"/>
        <v>112.66666666666664</v>
      </c>
      <c r="I32" s="673">
        <f>G32/D32*100</f>
        <v>146.00431965442763</v>
      </c>
      <c r="J32" s="805"/>
      <c r="K32" s="794"/>
    </row>
    <row r="33" spans="1:11" ht="39.75" customHeight="1">
      <c r="A33" s="671" t="s">
        <v>9</v>
      </c>
      <c r="B33" s="558" t="s">
        <v>46</v>
      </c>
      <c r="C33" s="816" t="s">
        <v>31</v>
      </c>
      <c r="D33" s="673">
        <v>84</v>
      </c>
      <c r="E33" s="673">
        <v>165</v>
      </c>
      <c r="F33" s="672">
        <v>140</v>
      </c>
      <c r="G33" s="673">
        <v>79.6</v>
      </c>
      <c r="H33" s="673">
        <f t="shared" si="0"/>
        <v>56.85714285714285</v>
      </c>
      <c r="I33" s="673">
        <f>G33/D33*100</f>
        <v>94.76190476190476</v>
      </c>
      <c r="J33" s="805">
        <f>F33-G33</f>
        <v>60.400000000000006</v>
      </c>
      <c r="K33" s="794"/>
    </row>
    <row r="34" spans="1:11" ht="39.75" customHeight="1">
      <c r="A34" s="671"/>
      <c r="B34" s="558" t="s">
        <v>37</v>
      </c>
      <c r="C34" s="816" t="s">
        <v>38</v>
      </c>
      <c r="D34" s="673"/>
      <c r="E34" s="673">
        <v>35.8</v>
      </c>
      <c r="F34" s="673">
        <v>42.1</v>
      </c>
      <c r="G34" s="673"/>
      <c r="H34" s="673">
        <f t="shared" si="0"/>
        <v>0</v>
      </c>
      <c r="I34" s="673"/>
      <c r="J34" s="805"/>
      <c r="K34" s="794"/>
    </row>
    <row r="35" spans="1:11" ht="39.75" customHeight="1">
      <c r="A35" s="671"/>
      <c r="B35" s="558" t="s">
        <v>39</v>
      </c>
      <c r="C35" s="816" t="s">
        <v>11</v>
      </c>
      <c r="D35" s="673"/>
      <c r="E35" s="673">
        <v>591</v>
      </c>
      <c r="F35" s="672">
        <v>589</v>
      </c>
      <c r="G35" s="673"/>
      <c r="H35" s="673">
        <f t="shared" si="0"/>
        <v>0</v>
      </c>
      <c r="I35" s="673"/>
      <c r="J35" s="805">
        <f>F35-G35</f>
        <v>589</v>
      </c>
      <c r="K35" s="794"/>
    </row>
    <row r="36" spans="1:11" s="546" customFormat="1" ht="39.75" customHeight="1">
      <c r="A36" s="670">
        <v>2</v>
      </c>
      <c r="B36" s="557" t="s">
        <v>221</v>
      </c>
      <c r="C36" s="677" t="s">
        <v>31</v>
      </c>
      <c r="D36" s="689">
        <v>3667.2</v>
      </c>
      <c r="E36" s="683">
        <v>3900</v>
      </c>
      <c r="F36" s="678">
        <v>3800</v>
      </c>
      <c r="G36" s="683">
        <v>3705.7</v>
      </c>
      <c r="H36" s="683">
        <f t="shared" si="0"/>
        <v>97.51842105263158</v>
      </c>
      <c r="I36" s="683">
        <f>G36/D36*100</f>
        <v>101.04984729493891</v>
      </c>
      <c r="J36" s="804">
        <f>F36-G36</f>
        <v>94.30000000000018</v>
      </c>
      <c r="K36" s="793"/>
    </row>
    <row r="37" spans="1:11" ht="39.75" customHeight="1">
      <c r="A37" s="671"/>
      <c r="B37" s="558" t="s">
        <v>37</v>
      </c>
      <c r="C37" s="816" t="s">
        <v>38</v>
      </c>
      <c r="D37" s="673"/>
      <c r="E37" s="673">
        <v>125.2</v>
      </c>
      <c r="F37" s="673">
        <v>132.3</v>
      </c>
      <c r="G37" s="673"/>
      <c r="H37" s="673">
        <f t="shared" si="0"/>
        <v>0</v>
      </c>
      <c r="I37" s="673"/>
      <c r="J37" s="805"/>
      <c r="K37" s="794"/>
    </row>
    <row r="38" spans="1:11" ht="39.75" customHeight="1">
      <c r="A38" s="671"/>
      <c r="B38" s="558" t="s">
        <v>39</v>
      </c>
      <c r="C38" s="816" t="s">
        <v>11</v>
      </c>
      <c r="D38" s="691">
        <v>19680</v>
      </c>
      <c r="E38" s="673">
        <v>48945</v>
      </c>
      <c r="F38" s="672">
        <v>50255</v>
      </c>
      <c r="G38" s="691">
        <v>19750</v>
      </c>
      <c r="H38" s="673">
        <f t="shared" si="0"/>
        <v>39.29957218187245</v>
      </c>
      <c r="I38" s="673">
        <f aca="true" t="shared" si="3" ref="I38:I43">G38/D38*100</f>
        <v>100.35569105691057</v>
      </c>
      <c r="J38" s="805">
        <f>F38-G38</f>
        <v>30505</v>
      </c>
      <c r="K38" s="794"/>
    </row>
    <row r="39" spans="1:11" s="546" customFormat="1" ht="39.75" customHeight="1">
      <c r="A39" s="670">
        <v>3</v>
      </c>
      <c r="B39" s="557" t="s">
        <v>222</v>
      </c>
      <c r="C39" s="677" t="s">
        <v>31</v>
      </c>
      <c r="D39" s="683">
        <f>D40+D41</f>
        <v>103</v>
      </c>
      <c r="E39" s="683">
        <f aca="true" t="shared" si="4" ref="E39:J39">E40+E41</f>
        <v>128</v>
      </c>
      <c r="F39" s="683">
        <f t="shared" si="4"/>
        <v>120</v>
      </c>
      <c r="G39" s="683">
        <f t="shared" si="4"/>
        <v>105</v>
      </c>
      <c r="H39" s="683">
        <f t="shared" si="0"/>
        <v>87.5</v>
      </c>
      <c r="I39" s="683">
        <f t="shared" si="3"/>
        <v>101.94174757281553</v>
      </c>
      <c r="J39" s="804">
        <f t="shared" si="4"/>
        <v>15</v>
      </c>
      <c r="K39" s="793"/>
    </row>
    <row r="40" spans="1:11" ht="39.75" customHeight="1">
      <c r="A40" s="671" t="s">
        <v>9</v>
      </c>
      <c r="B40" s="558" t="s">
        <v>223</v>
      </c>
      <c r="C40" s="816" t="s">
        <v>31</v>
      </c>
      <c r="D40" s="673">
        <v>40</v>
      </c>
      <c r="E40" s="673">
        <v>40</v>
      </c>
      <c r="F40" s="672">
        <v>40</v>
      </c>
      <c r="G40" s="673">
        <v>40</v>
      </c>
      <c r="H40" s="673">
        <f t="shared" si="0"/>
        <v>100</v>
      </c>
      <c r="I40" s="673">
        <f t="shared" si="3"/>
        <v>100</v>
      </c>
      <c r="J40" s="805">
        <f>F40-G40</f>
        <v>0</v>
      </c>
      <c r="K40" s="794"/>
    </row>
    <row r="41" spans="1:11" ht="39.75" customHeight="1">
      <c r="A41" s="671" t="s">
        <v>9</v>
      </c>
      <c r="B41" s="558" t="s">
        <v>224</v>
      </c>
      <c r="C41" s="816" t="s">
        <v>31</v>
      </c>
      <c r="D41" s="673">
        <v>63</v>
      </c>
      <c r="E41" s="673">
        <v>88</v>
      </c>
      <c r="F41" s="672">
        <v>80</v>
      </c>
      <c r="G41" s="673">
        <v>65</v>
      </c>
      <c r="H41" s="673">
        <f t="shared" si="0"/>
        <v>81.25</v>
      </c>
      <c r="I41" s="673">
        <f t="shared" si="3"/>
        <v>103.17460317460319</v>
      </c>
      <c r="J41" s="805">
        <f>F41-G41</f>
        <v>15</v>
      </c>
      <c r="K41" s="794"/>
    </row>
    <row r="42" spans="1:11" s="546" customFormat="1" ht="39.75" customHeight="1">
      <c r="A42" s="670">
        <v>4</v>
      </c>
      <c r="B42" s="557" t="s">
        <v>101</v>
      </c>
      <c r="C42" s="677" t="s">
        <v>31</v>
      </c>
      <c r="D42" s="683">
        <f>D43+D48+D53+D55</f>
        <v>3449.7999999999997</v>
      </c>
      <c r="E42" s="683">
        <f aca="true" t="shared" si="5" ref="E42:J42">E43+E48+E53+E55</f>
        <v>3690</v>
      </c>
      <c r="F42" s="683">
        <f t="shared" si="5"/>
        <v>3924.5</v>
      </c>
      <c r="G42" s="683">
        <f t="shared" si="5"/>
        <v>3726.3</v>
      </c>
      <c r="H42" s="683">
        <f t="shared" si="0"/>
        <v>94.94967511784941</v>
      </c>
      <c r="I42" s="683">
        <f t="shared" si="3"/>
        <v>108.01495738883415</v>
      </c>
      <c r="J42" s="804">
        <f t="shared" si="5"/>
        <v>198.2</v>
      </c>
      <c r="K42" s="793"/>
    </row>
    <row r="43" spans="1:11" s="548" customFormat="1" ht="39.75" customHeight="1">
      <c r="A43" s="679" t="s">
        <v>102</v>
      </c>
      <c r="B43" s="565" t="s">
        <v>145</v>
      </c>
      <c r="C43" s="680" t="s">
        <v>31</v>
      </c>
      <c r="D43" s="682">
        <v>1729.3</v>
      </c>
      <c r="E43" s="818">
        <v>1767.2</v>
      </c>
      <c r="F43" s="681">
        <v>1782</v>
      </c>
      <c r="G43" s="681">
        <v>1767</v>
      </c>
      <c r="H43" s="682">
        <f t="shared" si="0"/>
        <v>99.15824915824916</v>
      </c>
      <c r="I43" s="682">
        <f t="shared" si="3"/>
        <v>102.18007286185163</v>
      </c>
      <c r="J43" s="807">
        <f>F43-G43</f>
        <v>15</v>
      </c>
      <c r="K43" s="799"/>
    </row>
    <row r="44" spans="1:11" ht="39.75" customHeight="1">
      <c r="A44" s="671"/>
      <c r="B44" s="558" t="s">
        <v>47</v>
      </c>
      <c r="C44" s="816" t="s">
        <v>31</v>
      </c>
      <c r="D44" s="673"/>
      <c r="E44" s="673">
        <v>45.7</v>
      </c>
      <c r="F44" s="672">
        <v>15</v>
      </c>
      <c r="G44" s="673"/>
      <c r="H44" s="673">
        <f t="shared" si="0"/>
        <v>0</v>
      </c>
      <c r="I44" s="673"/>
      <c r="J44" s="805"/>
      <c r="K44" s="794"/>
    </row>
    <row r="45" spans="1:11" ht="39.75" customHeight="1">
      <c r="A45" s="671"/>
      <c r="B45" s="558" t="s">
        <v>228</v>
      </c>
      <c r="C45" s="816" t="s">
        <v>31</v>
      </c>
      <c r="D45" s="690">
        <v>1545.5</v>
      </c>
      <c r="E45" s="672">
        <v>1400</v>
      </c>
      <c r="F45" s="672">
        <v>1554</v>
      </c>
      <c r="G45" s="690">
        <v>1554</v>
      </c>
      <c r="H45" s="673">
        <f t="shared" si="0"/>
        <v>100</v>
      </c>
      <c r="I45" s="673">
        <f>G45/D45*100</f>
        <v>100.54998382400517</v>
      </c>
      <c r="J45" s="805"/>
      <c r="K45" s="794"/>
    </row>
    <row r="46" spans="1:11" ht="39.75" customHeight="1">
      <c r="A46" s="671"/>
      <c r="B46" s="558" t="s">
        <v>37</v>
      </c>
      <c r="C46" s="816" t="s">
        <v>38</v>
      </c>
      <c r="D46" s="673"/>
      <c r="E46" s="672">
        <v>12</v>
      </c>
      <c r="F46" s="673">
        <v>12.1</v>
      </c>
      <c r="G46" s="673"/>
      <c r="H46" s="673">
        <f t="shared" si="0"/>
        <v>0</v>
      </c>
      <c r="I46" s="673"/>
      <c r="J46" s="805"/>
      <c r="K46" s="794"/>
    </row>
    <row r="47" spans="1:11" ht="39.75" customHeight="1">
      <c r="A47" s="671"/>
      <c r="B47" s="558" t="s">
        <v>39</v>
      </c>
      <c r="C47" s="816" t="s">
        <v>32</v>
      </c>
      <c r="D47" s="673"/>
      <c r="E47" s="672">
        <v>1680</v>
      </c>
      <c r="F47" s="673">
        <v>1880.3</v>
      </c>
      <c r="G47" s="673"/>
      <c r="H47" s="673">
        <f t="shared" si="0"/>
        <v>0</v>
      </c>
      <c r="I47" s="673"/>
      <c r="J47" s="805"/>
      <c r="K47" s="794"/>
    </row>
    <row r="48" spans="1:11" s="548" customFormat="1" ht="39.75" customHeight="1">
      <c r="A48" s="679" t="s">
        <v>103</v>
      </c>
      <c r="B48" s="565" t="s">
        <v>144</v>
      </c>
      <c r="C48" s="680" t="s">
        <v>31</v>
      </c>
      <c r="D48" s="682">
        <v>1533.8</v>
      </c>
      <c r="E48" s="681">
        <v>1577</v>
      </c>
      <c r="F48" s="681">
        <v>1577</v>
      </c>
      <c r="G48" s="681">
        <v>1577</v>
      </c>
      <c r="H48" s="682">
        <f t="shared" si="0"/>
        <v>100</v>
      </c>
      <c r="I48" s="682">
        <f>G48/D48*100</f>
        <v>102.8165340983179</v>
      </c>
      <c r="J48" s="807">
        <f>F48-G48</f>
        <v>0</v>
      </c>
      <c r="K48" s="799"/>
    </row>
    <row r="49" spans="1:11" ht="39.75" customHeight="1">
      <c r="A49" s="671"/>
      <c r="B49" s="558" t="s">
        <v>47</v>
      </c>
      <c r="C49" s="816" t="s">
        <v>31</v>
      </c>
      <c r="D49" s="673"/>
      <c r="E49" s="673"/>
      <c r="F49" s="672">
        <v>0</v>
      </c>
      <c r="G49" s="673">
        <v>0</v>
      </c>
      <c r="H49" s="673"/>
      <c r="I49" s="673"/>
      <c r="J49" s="805"/>
      <c r="K49" s="794"/>
    </row>
    <row r="50" spans="1:11" ht="39.75" customHeight="1">
      <c r="A50" s="671"/>
      <c r="B50" s="558" t="s">
        <v>228</v>
      </c>
      <c r="C50" s="816" t="s">
        <v>31</v>
      </c>
      <c r="D50" s="558">
        <v>992.4</v>
      </c>
      <c r="E50" s="673"/>
      <c r="F50" s="672">
        <v>1119</v>
      </c>
      <c r="G50" s="690">
        <v>1050.5</v>
      </c>
      <c r="H50" s="673">
        <f>G50/F50*100</f>
        <v>93.87846291331546</v>
      </c>
      <c r="I50" s="673">
        <f>G50/D50*100</f>
        <v>105.85449415558243</v>
      </c>
      <c r="J50" s="805"/>
      <c r="K50" s="794"/>
    </row>
    <row r="51" spans="1:11" ht="39.75" customHeight="1">
      <c r="A51" s="671"/>
      <c r="B51" s="558" t="s">
        <v>37</v>
      </c>
      <c r="C51" s="816" t="s">
        <v>48</v>
      </c>
      <c r="D51" s="558">
        <v>1.86</v>
      </c>
      <c r="E51" s="673"/>
      <c r="F51" s="673">
        <v>8.2</v>
      </c>
      <c r="G51" s="558">
        <v>1.81</v>
      </c>
      <c r="H51" s="673">
        <f>G51/F51*100</f>
        <v>22.07317073170732</v>
      </c>
      <c r="I51" s="673">
        <f>G51/D51*100</f>
        <v>97.31182795698925</v>
      </c>
      <c r="J51" s="805"/>
      <c r="K51" s="794"/>
    </row>
    <row r="52" spans="1:11" ht="39.75" customHeight="1">
      <c r="A52" s="671"/>
      <c r="B52" s="558" t="s">
        <v>39</v>
      </c>
      <c r="C52" s="816" t="s">
        <v>32</v>
      </c>
      <c r="D52" s="558">
        <v>185</v>
      </c>
      <c r="E52" s="673"/>
      <c r="F52" s="673">
        <v>923.2</v>
      </c>
      <c r="G52" s="558">
        <v>190</v>
      </c>
      <c r="H52" s="673">
        <f>G52/F52*100</f>
        <v>20.58058925476603</v>
      </c>
      <c r="I52" s="673">
        <f>G52/D52*100</f>
        <v>102.7027027027027</v>
      </c>
      <c r="J52" s="805"/>
      <c r="K52" s="794"/>
    </row>
    <row r="53" spans="1:11" s="548" customFormat="1" ht="39.75" customHeight="1">
      <c r="A53" s="679" t="s">
        <v>104</v>
      </c>
      <c r="B53" s="565" t="s">
        <v>172</v>
      </c>
      <c r="C53" s="680" t="s">
        <v>31</v>
      </c>
      <c r="D53" s="682">
        <v>156.7</v>
      </c>
      <c r="E53" s="682">
        <v>189.5</v>
      </c>
      <c r="F53" s="682">
        <v>374.5</v>
      </c>
      <c r="G53" s="819">
        <v>218.3</v>
      </c>
      <c r="H53" s="682">
        <f>G53/F53*100</f>
        <v>58.29105473965287</v>
      </c>
      <c r="I53" s="682">
        <f>G53/D53*100</f>
        <v>139.3107849393746</v>
      </c>
      <c r="J53" s="807">
        <f aca="true" t="shared" si="6" ref="J53:J62">F53-G53</f>
        <v>156.2</v>
      </c>
      <c r="K53" s="799"/>
    </row>
    <row r="54" spans="1:11" ht="39.75" customHeight="1">
      <c r="A54" s="671"/>
      <c r="B54" s="558" t="s">
        <v>225</v>
      </c>
      <c r="C54" s="816" t="s">
        <v>31</v>
      </c>
      <c r="D54" s="673"/>
      <c r="E54" s="673">
        <v>38.9</v>
      </c>
      <c r="F54" s="672">
        <v>185</v>
      </c>
      <c r="G54" s="820">
        <v>28.8</v>
      </c>
      <c r="H54" s="673">
        <f>(G54/F54)*100</f>
        <v>15.567567567567567</v>
      </c>
      <c r="I54" s="673"/>
      <c r="J54" s="805">
        <f t="shared" si="6"/>
        <v>156.2</v>
      </c>
      <c r="K54" s="794"/>
    </row>
    <row r="55" spans="1:11" s="548" customFormat="1" ht="39.75" customHeight="1">
      <c r="A55" s="679" t="s">
        <v>105</v>
      </c>
      <c r="B55" s="565" t="s">
        <v>173</v>
      </c>
      <c r="C55" s="680" t="s">
        <v>31</v>
      </c>
      <c r="D55" s="682">
        <v>30</v>
      </c>
      <c r="E55" s="682">
        <v>156.3</v>
      </c>
      <c r="F55" s="681">
        <v>191</v>
      </c>
      <c r="G55" s="682">
        <v>164</v>
      </c>
      <c r="H55" s="682">
        <f aca="true" t="shared" si="7" ref="H55:H67">G55/F55*100</f>
        <v>85.86387434554975</v>
      </c>
      <c r="I55" s="682">
        <f>G55/D55*100</f>
        <v>546.6666666666666</v>
      </c>
      <c r="J55" s="807">
        <f t="shared" si="6"/>
        <v>27</v>
      </c>
      <c r="K55" s="799"/>
    </row>
    <row r="56" spans="1:11" ht="39.75" customHeight="1">
      <c r="A56" s="671"/>
      <c r="B56" s="558" t="s">
        <v>225</v>
      </c>
      <c r="C56" s="816" t="s">
        <v>31</v>
      </c>
      <c r="D56" s="673"/>
      <c r="E56" s="673">
        <v>126.3</v>
      </c>
      <c r="F56" s="672">
        <v>35</v>
      </c>
      <c r="G56" s="692">
        <f>G55-E55</f>
        <v>7.699999999999989</v>
      </c>
      <c r="H56" s="673">
        <f t="shared" si="7"/>
        <v>21.999999999999968</v>
      </c>
      <c r="I56" s="673"/>
      <c r="J56" s="805">
        <f t="shared" si="6"/>
        <v>27.30000000000001</v>
      </c>
      <c r="K56" s="794"/>
    </row>
    <row r="57" spans="1:11" s="546" customFormat="1" ht="39.75" customHeight="1">
      <c r="A57" s="670">
        <v>5</v>
      </c>
      <c r="B57" s="557" t="s">
        <v>164</v>
      </c>
      <c r="C57" s="677" t="s">
        <v>31</v>
      </c>
      <c r="D57" s="683">
        <f>D58+D60</f>
        <v>304.33</v>
      </c>
      <c r="E57" s="683">
        <f>E58+E60</f>
        <v>644.706</v>
      </c>
      <c r="F57" s="683">
        <v>954.5</v>
      </c>
      <c r="G57" s="683">
        <f>G58+G60</f>
        <v>787.05</v>
      </c>
      <c r="H57" s="683">
        <f t="shared" si="7"/>
        <v>82.45678365636458</v>
      </c>
      <c r="I57" s="683">
        <f>G57/D57*100</f>
        <v>258.6172904412973</v>
      </c>
      <c r="J57" s="804">
        <f t="shared" si="6"/>
        <v>167.45000000000005</v>
      </c>
      <c r="K57" s="793"/>
    </row>
    <row r="58" spans="1:11" s="548" customFormat="1" ht="39.75" customHeight="1">
      <c r="A58" s="679" t="s">
        <v>229</v>
      </c>
      <c r="B58" s="565" t="s">
        <v>226</v>
      </c>
      <c r="C58" s="680" t="s">
        <v>31</v>
      </c>
      <c r="D58" s="693">
        <v>6.33</v>
      </c>
      <c r="E58" s="703">
        <v>21.206</v>
      </c>
      <c r="F58" s="681">
        <v>31</v>
      </c>
      <c r="G58" s="821">
        <v>32.35</v>
      </c>
      <c r="H58" s="682">
        <f t="shared" si="7"/>
        <v>104.35483870967744</v>
      </c>
      <c r="I58" s="682">
        <f>G58/D58*100</f>
        <v>511.0584518167457</v>
      </c>
      <c r="J58" s="807"/>
      <c r="K58" s="799"/>
    </row>
    <row r="59" spans="1:11" s="547" customFormat="1" ht="39.75" customHeight="1">
      <c r="A59" s="674"/>
      <c r="B59" s="561" t="s">
        <v>225</v>
      </c>
      <c r="C59" s="675" t="s">
        <v>31</v>
      </c>
      <c r="D59" s="684"/>
      <c r="E59" s="817">
        <v>15.894</v>
      </c>
      <c r="F59" s="676">
        <v>10</v>
      </c>
      <c r="G59" s="822">
        <v>11.145</v>
      </c>
      <c r="H59" s="684">
        <f>G59/F59*100</f>
        <v>111.45</v>
      </c>
      <c r="I59" s="684"/>
      <c r="J59" s="806"/>
      <c r="K59" s="795"/>
    </row>
    <row r="60" spans="1:12" s="548" customFormat="1" ht="39.75" customHeight="1">
      <c r="A60" s="679" t="s">
        <v>230</v>
      </c>
      <c r="B60" s="565" t="s">
        <v>227</v>
      </c>
      <c r="C60" s="680" t="s">
        <v>31</v>
      </c>
      <c r="D60" s="682">
        <f>D62+D65</f>
        <v>298</v>
      </c>
      <c r="E60" s="682">
        <f>E62+E65</f>
        <v>623.5</v>
      </c>
      <c r="F60" s="682">
        <v>923.5</v>
      </c>
      <c r="G60" s="682">
        <f>G62+G65</f>
        <v>754.6999999999999</v>
      </c>
      <c r="H60" s="682">
        <f t="shared" si="7"/>
        <v>81.72171088251218</v>
      </c>
      <c r="I60" s="682">
        <f>G60/D60*100</f>
        <v>253.25503355704697</v>
      </c>
      <c r="J60" s="807">
        <f t="shared" si="6"/>
        <v>168.80000000000007</v>
      </c>
      <c r="K60" s="799"/>
      <c r="L60" s="702"/>
    </row>
    <row r="61" spans="1:12" ht="39.75" customHeight="1">
      <c r="A61" s="671"/>
      <c r="B61" s="558" t="s">
        <v>300</v>
      </c>
      <c r="C61" s="816" t="s">
        <v>31</v>
      </c>
      <c r="D61" s="673"/>
      <c r="E61" s="673"/>
      <c r="F61" s="672">
        <v>300</v>
      </c>
      <c r="G61" s="820">
        <f>G64+G67</f>
        <v>131.2</v>
      </c>
      <c r="H61" s="673">
        <f t="shared" si="7"/>
        <v>43.73333333333333</v>
      </c>
      <c r="I61" s="673"/>
      <c r="J61" s="805">
        <f t="shared" si="6"/>
        <v>168.8</v>
      </c>
      <c r="K61" s="794"/>
      <c r="L61" s="701"/>
    </row>
    <row r="62" spans="1:12" ht="39.75" customHeight="1">
      <c r="A62" s="671"/>
      <c r="B62" s="558" t="s">
        <v>301</v>
      </c>
      <c r="C62" s="816" t="s">
        <v>31</v>
      </c>
      <c r="D62" s="673">
        <f>D63</f>
        <v>290.5</v>
      </c>
      <c r="E62" s="673">
        <f>E63</f>
        <v>609.8</v>
      </c>
      <c r="F62" s="672">
        <v>890</v>
      </c>
      <c r="G62" s="820">
        <f>G63+G64</f>
        <v>717.0999999999999</v>
      </c>
      <c r="H62" s="673">
        <f t="shared" si="7"/>
        <v>80.57303370786516</v>
      </c>
      <c r="I62" s="673">
        <f>G62/D62*100</f>
        <v>246.85025817555933</v>
      </c>
      <c r="J62" s="805">
        <f t="shared" si="6"/>
        <v>172.9000000000001</v>
      </c>
      <c r="K62" s="794"/>
      <c r="L62" s="701"/>
    </row>
    <row r="63" spans="1:12" ht="39.75" customHeight="1">
      <c r="A63" s="671"/>
      <c r="B63" s="558" t="s">
        <v>302</v>
      </c>
      <c r="C63" s="816" t="s">
        <v>31</v>
      </c>
      <c r="D63" s="684">
        <v>290.5</v>
      </c>
      <c r="E63" s="684">
        <v>609.8</v>
      </c>
      <c r="F63" s="672">
        <v>610</v>
      </c>
      <c r="G63" s="823">
        <v>609.8</v>
      </c>
      <c r="H63" s="673">
        <f t="shared" si="7"/>
        <v>99.96721311475409</v>
      </c>
      <c r="I63" s="673">
        <f>G63/D63*100</f>
        <v>209.91394148020652</v>
      </c>
      <c r="J63" s="805"/>
      <c r="K63" s="794"/>
      <c r="L63" s="701"/>
    </row>
    <row r="64" spans="1:11" ht="39.75" customHeight="1">
      <c r="A64" s="671"/>
      <c r="B64" s="558" t="s">
        <v>303</v>
      </c>
      <c r="C64" s="816" t="s">
        <v>31</v>
      </c>
      <c r="D64" s="684"/>
      <c r="E64" s="684"/>
      <c r="F64" s="672">
        <v>280</v>
      </c>
      <c r="G64" s="823">
        <v>107.3</v>
      </c>
      <c r="H64" s="673">
        <f t="shared" si="7"/>
        <v>38.32142857142857</v>
      </c>
      <c r="I64" s="673"/>
      <c r="J64" s="805">
        <f>F64-G64</f>
        <v>172.7</v>
      </c>
      <c r="K64" s="794"/>
    </row>
    <row r="65" spans="1:11" ht="39.75" customHeight="1">
      <c r="A65" s="671"/>
      <c r="B65" s="558" t="s">
        <v>304</v>
      </c>
      <c r="C65" s="816" t="s">
        <v>31</v>
      </c>
      <c r="D65" s="673">
        <v>7.5</v>
      </c>
      <c r="E65" s="673">
        <v>13.7</v>
      </c>
      <c r="F65" s="673">
        <v>33.7</v>
      </c>
      <c r="G65" s="820">
        <f>G66+G67</f>
        <v>37.599999999999994</v>
      </c>
      <c r="H65" s="673">
        <f t="shared" si="7"/>
        <v>111.57270029673587</v>
      </c>
      <c r="I65" s="673">
        <f>G65/D65*100</f>
        <v>501.33333333333326</v>
      </c>
      <c r="J65" s="805"/>
      <c r="K65" s="794"/>
    </row>
    <row r="66" spans="1:11" ht="39.75" customHeight="1">
      <c r="A66" s="671"/>
      <c r="B66" s="558" t="s">
        <v>302</v>
      </c>
      <c r="C66" s="816" t="s">
        <v>97</v>
      </c>
      <c r="D66" s="673"/>
      <c r="E66" s="673"/>
      <c r="F66" s="673">
        <v>13.7</v>
      </c>
      <c r="G66" s="823">
        <v>13.7</v>
      </c>
      <c r="H66" s="673">
        <f t="shared" si="7"/>
        <v>100</v>
      </c>
      <c r="I66" s="673"/>
      <c r="J66" s="805"/>
      <c r="K66" s="794"/>
    </row>
    <row r="67" spans="1:11" ht="39.75" customHeight="1">
      <c r="A67" s="671"/>
      <c r="B67" s="558" t="s">
        <v>303</v>
      </c>
      <c r="C67" s="816" t="s">
        <v>31</v>
      </c>
      <c r="D67" s="673"/>
      <c r="E67" s="673"/>
      <c r="F67" s="673">
        <v>20</v>
      </c>
      <c r="G67" s="823">
        <v>23.9</v>
      </c>
      <c r="H67" s="673">
        <f t="shared" si="7"/>
        <v>119.49999999999999</v>
      </c>
      <c r="I67" s="673"/>
      <c r="J67" s="805"/>
      <c r="K67" s="794"/>
    </row>
    <row r="68" spans="1:11" s="546" customFormat="1" ht="39.75" customHeight="1">
      <c r="A68" s="670" t="s">
        <v>57</v>
      </c>
      <c r="B68" s="557" t="s">
        <v>106</v>
      </c>
      <c r="C68" s="677"/>
      <c r="D68" s="683"/>
      <c r="E68" s="683"/>
      <c r="F68" s="683"/>
      <c r="G68" s="683"/>
      <c r="H68" s="673"/>
      <c r="I68" s="673"/>
      <c r="J68" s="805"/>
      <c r="K68" s="793"/>
    </row>
    <row r="69" spans="1:11" ht="39.75" customHeight="1">
      <c r="A69" s="671"/>
      <c r="B69" s="558" t="s">
        <v>231</v>
      </c>
      <c r="C69" s="816" t="s">
        <v>50</v>
      </c>
      <c r="D69" s="672">
        <f>D70+D71+D72</f>
        <v>24856</v>
      </c>
      <c r="E69" s="672">
        <f>E70+E71+E72</f>
        <v>26516</v>
      </c>
      <c r="F69" s="672">
        <f>F70+F71+F72</f>
        <v>29600</v>
      </c>
      <c r="G69" s="672">
        <f>G70+G71+G72</f>
        <v>28142</v>
      </c>
      <c r="H69" s="673">
        <f>G69/F69*100</f>
        <v>95.07432432432432</v>
      </c>
      <c r="I69" s="673">
        <f>G69/D69*100</f>
        <v>113.22014805278404</v>
      </c>
      <c r="J69" s="805">
        <f>F69-G69</f>
        <v>1458</v>
      </c>
      <c r="K69" s="794"/>
    </row>
    <row r="70" spans="1:11" ht="39.75" customHeight="1">
      <c r="A70" s="671">
        <v>1</v>
      </c>
      <c r="B70" s="558" t="s">
        <v>232</v>
      </c>
      <c r="C70" s="816" t="s">
        <v>50</v>
      </c>
      <c r="D70" s="672">
        <v>3325</v>
      </c>
      <c r="E70" s="672">
        <v>3421</v>
      </c>
      <c r="F70" s="672">
        <v>3600</v>
      </c>
      <c r="G70" s="672">
        <v>3460</v>
      </c>
      <c r="H70" s="673">
        <f>G70/F70*100</f>
        <v>96.11111111111111</v>
      </c>
      <c r="I70" s="673">
        <f>G70/D70*100</f>
        <v>104.06015037593986</v>
      </c>
      <c r="J70" s="805">
        <f>F70-G70</f>
        <v>140</v>
      </c>
      <c r="K70" s="794"/>
    </row>
    <row r="71" spans="1:11" ht="39.75" customHeight="1">
      <c r="A71" s="671">
        <v>2</v>
      </c>
      <c r="B71" s="558" t="s">
        <v>233</v>
      </c>
      <c r="C71" s="816" t="s">
        <v>50</v>
      </c>
      <c r="D71" s="672">
        <v>10862</v>
      </c>
      <c r="E71" s="672">
        <v>11595</v>
      </c>
      <c r="F71" s="672">
        <v>11000</v>
      </c>
      <c r="G71" s="672">
        <v>11026</v>
      </c>
      <c r="H71" s="673">
        <f>G71/F71*100</f>
        <v>100.23636363636363</v>
      </c>
      <c r="I71" s="673">
        <f>G71/D71*100</f>
        <v>101.50985085619591</v>
      </c>
      <c r="J71" s="805"/>
      <c r="K71" s="794"/>
    </row>
    <row r="72" spans="1:14" ht="39.75" customHeight="1">
      <c r="A72" s="671">
        <v>3</v>
      </c>
      <c r="B72" s="558" t="s">
        <v>234</v>
      </c>
      <c r="C72" s="816" t="s">
        <v>50</v>
      </c>
      <c r="D72" s="672">
        <v>10669</v>
      </c>
      <c r="E72" s="672">
        <v>11500</v>
      </c>
      <c r="F72" s="672">
        <v>15000</v>
      </c>
      <c r="G72" s="672">
        <v>13656</v>
      </c>
      <c r="H72" s="673">
        <f>G72/F72*100</f>
        <v>91.03999999999999</v>
      </c>
      <c r="I72" s="673">
        <f>G72/D72*100</f>
        <v>127.99700065610648</v>
      </c>
      <c r="J72" s="805">
        <f>F72-G72</f>
        <v>1344</v>
      </c>
      <c r="K72" s="794"/>
      <c r="N72" s="545">
        <f>355+260</f>
        <v>615</v>
      </c>
    </row>
    <row r="73" spans="1:11" s="546" customFormat="1" ht="39.75" customHeight="1">
      <c r="A73" s="670" t="s">
        <v>70</v>
      </c>
      <c r="B73" s="557" t="s">
        <v>107</v>
      </c>
      <c r="C73" s="677"/>
      <c r="D73" s="683"/>
      <c r="E73" s="683"/>
      <c r="F73" s="683"/>
      <c r="G73" s="683"/>
      <c r="H73" s="673"/>
      <c r="I73" s="673"/>
      <c r="J73" s="805"/>
      <c r="K73" s="793"/>
    </row>
    <row r="74" spans="1:11" ht="39.75" customHeight="1">
      <c r="A74" s="671" t="s">
        <v>95</v>
      </c>
      <c r="B74" s="558" t="s">
        <v>108</v>
      </c>
      <c r="C74" s="816" t="s">
        <v>32</v>
      </c>
      <c r="D74" s="673">
        <f>D76+D86</f>
        <v>23</v>
      </c>
      <c r="E74" s="673">
        <f>E76+E86</f>
        <v>59.400000000000006</v>
      </c>
      <c r="F74" s="673">
        <v>68.30000000000001</v>
      </c>
      <c r="G74" s="673">
        <f>G76+G86</f>
        <v>23.4</v>
      </c>
      <c r="H74" s="673">
        <f>G74/F74*100</f>
        <v>34.260614934114194</v>
      </c>
      <c r="I74" s="673">
        <f>G74/D74*100</f>
        <v>101.7391304347826</v>
      </c>
      <c r="J74" s="805">
        <f>F74-G74</f>
        <v>44.90000000000001</v>
      </c>
      <c r="K74" s="794"/>
    </row>
    <row r="75" spans="1:11" s="546" customFormat="1" ht="39.75" customHeight="1">
      <c r="A75" s="670">
        <v>1</v>
      </c>
      <c r="B75" s="557" t="s">
        <v>109</v>
      </c>
      <c r="C75" s="677"/>
      <c r="D75" s="683"/>
      <c r="E75" s="683"/>
      <c r="F75" s="683"/>
      <c r="G75" s="683"/>
      <c r="H75" s="673"/>
      <c r="I75" s="673"/>
      <c r="J75" s="805"/>
      <c r="K75" s="793"/>
    </row>
    <row r="76" spans="1:11" ht="39.75" customHeight="1">
      <c r="A76" s="671"/>
      <c r="B76" s="558" t="s">
        <v>110</v>
      </c>
      <c r="C76" s="816" t="s">
        <v>32</v>
      </c>
      <c r="D76" s="673">
        <v>15.5</v>
      </c>
      <c r="E76" s="673">
        <f>E79+E82</f>
        <v>40.2</v>
      </c>
      <c r="F76" s="673">
        <v>54.300000000000004</v>
      </c>
      <c r="G76" s="673">
        <v>15.8</v>
      </c>
      <c r="H76" s="673">
        <f aca="true" t="shared" si="8" ref="H76:H86">G76/F76*100</f>
        <v>29.097605893186003</v>
      </c>
      <c r="I76" s="673">
        <f>G76/D76*100</f>
        <v>101.93548387096773</v>
      </c>
      <c r="J76" s="805">
        <f>F76-G76</f>
        <v>38.5</v>
      </c>
      <c r="K76" s="794"/>
    </row>
    <row r="77" spans="1:14" s="547" customFormat="1" ht="39.75" customHeight="1">
      <c r="A77" s="674" t="s">
        <v>98</v>
      </c>
      <c r="B77" s="561" t="s">
        <v>51</v>
      </c>
      <c r="C77" s="675" t="s">
        <v>97</v>
      </c>
      <c r="D77" s="684">
        <v>32.5</v>
      </c>
      <c r="E77" s="684">
        <v>31</v>
      </c>
      <c r="F77" s="684">
        <v>31</v>
      </c>
      <c r="G77" s="684">
        <v>31</v>
      </c>
      <c r="H77" s="673">
        <f t="shared" si="8"/>
        <v>100</v>
      </c>
      <c r="I77" s="673">
        <f>G77/D77*100</f>
        <v>95.38461538461539</v>
      </c>
      <c r="J77" s="805">
        <f>F77-G77</f>
        <v>0</v>
      </c>
      <c r="K77" s="800"/>
      <c r="L77" s="576"/>
      <c r="M77" s="576"/>
      <c r="N77" s="576"/>
    </row>
    <row r="78" spans="1:11" ht="39.75" customHeight="1">
      <c r="A78" s="671"/>
      <c r="B78" s="558" t="s">
        <v>37</v>
      </c>
      <c r="C78" s="816" t="s">
        <v>38</v>
      </c>
      <c r="D78" s="673"/>
      <c r="E78" s="673">
        <v>10.4</v>
      </c>
      <c r="F78" s="673">
        <v>13.5</v>
      </c>
      <c r="G78" s="673"/>
      <c r="H78" s="673">
        <f t="shared" si="8"/>
        <v>0</v>
      </c>
      <c r="I78" s="673"/>
      <c r="J78" s="805"/>
      <c r="K78" s="794"/>
    </row>
    <row r="79" spans="1:11" ht="39.75" customHeight="1">
      <c r="A79" s="671"/>
      <c r="B79" s="558" t="s">
        <v>39</v>
      </c>
      <c r="C79" s="816" t="s">
        <v>11</v>
      </c>
      <c r="D79" s="673"/>
      <c r="E79" s="673">
        <v>32.2</v>
      </c>
      <c r="F79" s="673">
        <v>41.7</v>
      </c>
      <c r="G79" s="673"/>
      <c r="H79" s="673">
        <f t="shared" si="8"/>
        <v>0</v>
      </c>
      <c r="I79" s="673"/>
      <c r="J79" s="805"/>
      <c r="K79" s="794"/>
    </row>
    <row r="80" spans="1:11" s="547" customFormat="1" ht="39.75" customHeight="1">
      <c r="A80" s="674" t="s">
        <v>100</v>
      </c>
      <c r="B80" s="561" t="s">
        <v>153</v>
      </c>
      <c r="C80" s="675" t="s">
        <v>97</v>
      </c>
      <c r="D80" s="684">
        <v>8</v>
      </c>
      <c r="E80" s="684">
        <v>8</v>
      </c>
      <c r="F80" s="684">
        <v>8</v>
      </c>
      <c r="G80" s="684">
        <v>8</v>
      </c>
      <c r="H80" s="684">
        <f t="shared" si="8"/>
        <v>100</v>
      </c>
      <c r="I80" s="684">
        <f>G80/D80*100</f>
        <v>100</v>
      </c>
      <c r="J80" s="806">
        <f>F80-G80</f>
        <v>0</v>
      </c>
      <c r="K80" s="795"/>
    </row>
    <row r="81" spans="1:11" ht="39.75" customHeight="1">
      <c r="A81" s="671"/>
      <c r="B81" s="558" t="s">
        <v>37</v>
      </c>
      <c r="C81" s="816" t="s">
        <v>99</v>
      </c>
      <c r="D81" s="673"/>
      <c r="E81" s="673">
        <v>10</v>
      </c>
      <c r="F81" s="673">
        <v>13.3</v>
      </c>
      <c r="G81" s="673"/>
      <c r="H81" s="673">
        <f t="shared" si="8"/>
        <v>0</v>
      </c>
      <c r="I81" s="673"/>
      <c r="J81" s="805"/>
      <c r="K81" s="794"/>
    </row>
    <row r="82" spans="1:11" ht="39.75" customHeight="1">
      <c r="A82" s="671"/>
      <c r="B82" s="558" t="s">
        <v>39</v>
      </c>
      <c r="C82" s="816" t="s">
        <v>32</v>
      </c>
      <c r="D82" s="673"/>
      <c r="E82" s="673">
        <v>8</v>
      </c>
      <c r="F82" s="673">
        <v>10.6</v>
      </c>
      <c r="G82" s="673"/>
      <c r="H82" s="673">
        <f t="shared" si="8"/>
        <v>0</v>
      </c>
      <c r="I82" s="673"/>
      <c r="J82" s="805"/>
      <c r="K82" s="794"/>
    </row>
    <row r="83" spans="1:11" s="547" customFormat="1" ht="39.75" customHeight="1">
      <c r="A83" s="674" t="s">
        <v>235</v>
      </c>
      <c r="B83" s="561" t="s">
        <v>167</v>
      </c>
      <c r="C83" s="675" t="s">
        <v>168</v>
      </c>
      <c r="D83" s="684">
        <v>0</v>
      </c>
      <c r="E83" s="684"/>
      <c r="F83" s="684">
        <v>5</v>
      </c>
      <c r="G83" s="684">
        <v>0</v>
      </c>
      <c r="H83" s="673">
        <f t="shared" si="8"/>
        <v>0</v>
      </c>
      <c r="I83" s="673"/>
      <c r="J83" s="805">
        <f>F83-G83</f>
        <v>5</v>
      </c>
      <c r="K83" s="795"/>
    </row>
    <row r="84" spans="1:11" ht="39.75" customHeight="1">
      <c r="A84" s="671"/>
      <c r="B84" s="558" t="s">
        <v>37</v>
      </c>
      <c r="C84" s="816" t="s">
        <v>169</v>
      </c>
      <c r="D84" s="673"/>
      <c r="E84" s="673"/>
      <c r="F84" s="673">
        <v>4</v>
      </c>
      <c r="G84" s="673"/>
      <c r="H84" s="673">
        <f t="shared" si="8"/>
        <v>0</v>
      </c>
      <c r="I84" s="673"/>
      <c r="J84" s="805"/>
      <c r="K84" s="794"/>
    </row>
    <row r="85" spans="1:11" ht="39.75" customHeight="1">
      <c r="A85" s="671"/>
      <c r="B85" s="558" t="s">
        <v>39</v>
      </c>
      <c r="C85" s="816" t="s">
        <v>11</v>
      </c>
      <c r="D85" s="673"/>
      <c r="E85" s="673"/>
      <c r="F85" s="673">
        <v>2</v>
      </c>
      <c r="G85" s="673"/>
      <c r="H85" s="673">
        <f t="shared" si="8"/>
        <v>0</v>
      </c>
      <c r="I85" s="673"/>
      <c r="J85" s="805"/>
      <c r="K85" s="794"/>
    </row>
    <row r="86" spans="1:11" s="546" customFormat="1" ht="39.75" customHeight="1">
      <c r="A86" s="670">
        <v>2</v>
      </c>
      <c r="B86" s="557" t="s">
        <v>111</v>
      </c>
      <c r="C86" s="677" t="s">
        <v>32</v>
      </c>
      <c r="D86" s="683">
        <v>7.5</v>
      </c>
      <c r="E86" s="683">
        <v>19.2</v>
      </c>
      <c r="F86" s="683">
        <v>14</v>
      </c>
      <c r="G86" s="683">
        <v>7.6</v>
      </c>
      <c r="H86" s="683">
        <f t="shared" si="8"/>
        <v>54.285714285714285</v>
      </c>
      <c r="I86" s="683">
        <f>G86/D86*100</f>
        <v>101.33333333333331</v>
      </c>
      <c r="J86" s="804">
        <f>F86-G86</f>
        <v>6.4</v>
      </c>
      <c r="K86" s="793"/>
    </row>
    <row r="87" spans="1:11" s="546" customFormat="1" ht="39.75" customHeight="1">
      <c r="A87" s="670" t="s">
        <v>176</v>
      </c>
      <c r="B87" s="557" t="s">
        <v>236</v>
      </c>
      <c r="C87" s="677"/>
      <c r="D87" s="683"/>
      <c r="E87" s="683"/>
      <c r="F87" s="683"/>
      <c r="G87" s="683"/>
      <c r="H87" s="673"/>
      <c r="I87" s="673"/>
      <c r="J87" s="805"/>
      <c r="K87" s="793"/>
    </row>
    <row r="88" spans="1:13" s="768" customFormat="1" ht="39.75" customHeight="1">
      <c r="A88" s="764"/>
      <c r="B88" s="765" t="s">
        <v>52</v>
      </c>
      <c r="C88" s="766" t="s">
        <v>53</v>
      </c>
      <c r="D88" s="767">
        <v>14.2</v>
      </c>
      <c r="E88" s="767">
        <v>14.2</v>
      </c>
      <c r="F88" s="767">
        <v>15.05</v>
      </c>
      <c r="G88" s="767">
        <v>15.05</v>
      </c>
      <c r="H88" s="767">
        <f>G88/F88*100</f>
        <v>100</v>
      </c>
      <c r="I88" s="767">
        <f>G88/D88*100</f>
        <v>105.98591549295774</v>
      </c>
      <c r="J88" s="808">
        <f aca="true" t="shared" si="9" ref="J88:J95">F88-G88</f>
        <v>0</v>
      </c>
      <c r="K88" s="801"/>
      <c r="M88" s="769">
        <f>G88-D88</f>
        <v>0.8500000000000014</v>
      </c>
    </row>
    <row r="89" spans="1:11" ht="39.75" customHeight="1">
      <c r="A89" s="671"/>
      <c r="B89" s="558" t="s">
        <v>54</v>
      </c>
      <c r="C89" s="816" t="s">
        <v>55</v>
      </c>
      <c r="D89" s="673">
        <v>1</v>
      </c>
      <c r="E89" s="673">
        <v>2</v>
      </c>
      <c r="F89" s="673">
        <v>3</v>
      </c>
      <c r="G89" s="673">
        <v>3</v>
      </c>
      <c r="H89" s="673">
        <f>G89/F89*100</f>
        <v>100</v>
      </c>
      <c r="I89" s="673">
        <f>G89/D89*100</f>
        <v>300</v>
      </c>
      <c r="J89" s="805">
        <f t="shared" si="9"/>
        <v>0</v>
      </c>
      <c r="K89" s="794"/>
    </row>
    <row r="90" spans="1:11" ht="39.75" customHeight="1">
      <c r="A90" s="671"/>
      <c r="B90" s="558" t="s">
        <v>56</v>
      </c>
      <c r="C90" s="816" t="s">
        <v>8</v>
      </c>
      <c r="D90" s="673">
        <f>1/11*100</f>
        <v>9.090909090909092</v>
      </c>
      <c r="E90" s="673">
        <f>E89/11*100</f>
        <v>18.181818181818183</v>
      </c>
      <c r="F90" s="673">
        <v>27.27272727272727</v>
      </c>
      <c r="G90" s="673">
        <f>G89/11*100</f>
        <v>27.27272727272727</v>
      </c>
      <c r="H90" s="673"/>
      <c r="I90" s="673">
        <f>G90/D90*100</f>
        <v>299.99999999999994</v>
      </c>
      <c r="J90" s="805">
        <f t="shared" si="9"/>
        <v>0</v>
      </c>
      <c r="K90" s="794"/>
    </row>
    <row r="91" spans="1:11" s="546" customFormat="1" ht="39.75" customHeight="1">
      <c r="A91" s="670" t="s">
        <v>237</v>
      </c>
      <c r="B91" s="557" t="s">
        <v>175</v>
      </c>
      <c r="C91" s="677"/>
      <c r="D91" s="685"/>
      <c r="E91" s="685"/>
      <c r="F91" s="683"/>
      <c r="G91" s="685"/>
      <c r="H91" s="673"/>
      <c r="I91" s="673"/>
      <c r="J91" s="805">
        <f t="shared" si="9"/>
        <v>0</v>
      </c>
      <c r="K91" s="793"/>
    </row>
    <row r="92" spans="1:11" s="718" customFormat="1" ht="39.75" customHeight="1">
      <c r="A92" s="729" t="s">
        <v>9</v>
      </c>
      <c r="B92" s="730" t="s">
        <v>238</v>
      </c>
      <c r="C92" s="731" t="s">
        <v>97</v>
      </c>
      <c r="D92" s="732"/>
      <c r="E92" s="730">
        <f>E93+E94</f>
        <v>403.61</v>
      </c>
      <c r="F92" s="733">
        <f>F93+F94</f>
        <v>615</v>
      </c>
      <c r="G92" s="730">
        <f>G93+G94</f>
        <v>0</v>
      </c>
      <c r="H92" s="734">
        <f>G92/F92*100</f>
        <v>0</v>
      </c>
      <c r="I92" s="673"/>
      <c r="J92" s="809">
        <f t="shared" si="9"/>
        <v>615</v>
      </c>
      <c r="K92" s="888"/>
    </row>
    <row r="93" spans="1:11" s="740" customFormat="1" ht="39.75" customHeight="1">
      <c r="A93" s="735"/>
      <c r="B93" s="736" t="s">
        <v>308</v>
      </c>
      <c r="C93" s="737" t="s">
        <v>97</v>
      </c>
      <c r="D93" s="738"/>
      <c r="E93" s="736">
        <v>370</v>
      </c>
      <c r="F93" s="739">
        <f>300+55</f>
        <v>355</v>
      </c>
      <c r="G93" s="736">
        <v>0</v>
      </c>
      <c r="H93" s="734">
        <f>G93/F93*100</f>
        <v>0</v>
      </c>
      <c r="I93" s="673"/>
      <c r="J93" s="809">
        <f t="shared" si="9"/>
        <v>355</v>
      </c>
      <c r="K93" s="888"/>
    </row>
    <row r="94" spans="1:11" s="740" customFormat="1" ht="30.75">
      <c r="A94" s="735"/>
      <c r="B94" s="736" t="s">
        <v>307</v>
      </c>
      <c r="C94" s="737" t="s">
        <v>97</v>
      </c>
      <c r="D94" s="738"/>
      <c r="E94" s="736">
        <v>33.61</v>
      </c>
      <c r="F94" s="739">
        <v>260</v>
      </c>
      <c r="G94" s="736">
        <v>0</v>
      </c>
      <c r="H94" s="734">
        <f>G94/F94*100</f>
        <v>0</v>
      </c>
      <c r="I94" s="673"/>
      <c r="J94" s="809">
        <f t="shared" si="9"/>
        <v>260</v>
      </c>
      <c r="K94" s="888"/>
    </row>
    <row r="95" spans="1:11" s="718" customFormat="1" ht="39.75" customHeight="1">
      <c r="A95" s="729" t="s">
        <v>9</v>
      </c>
      <c r="B95" s="730" t="s">
        <v>178</v>
      </c>
      <c r="C95" s="731" t="s">
        <v>8</v>
      </c>
      <c r="D95" s="732"/>
      <c r="E95" s="730">
        <v>71.95</v>
      </c>
      <c r="F95" s="734">
        <v>72.14</v>
      </c>
      <c r="G95" s="741">
        <v>72.14</v>
      </c>
      <c r="H95" s="734">
        <f>G95/F95*100</f>
        <v>100</v>
      </c>
      <c r="I95" s="673"/>
      <c r="J95" s="809">
        <f t="shared" si="9"/>
        <v>0</v>
      </c>
      <c r="K95" s="888"/>
    </row>
    <row r="96" spans="1:11" s="546" customFormat="1" ht="39.75" customHeight="1">
      <c r="A96" s="670" t="s">
        <v>239</v>
      </c>
      <c r="B96" s="557" t="s">
        <v>58</v>
      </c>
      <c r="C96" s="677"/>
      <c r="D96" s="685"/>
      <c r="E96" s="685"/>
      <c r="F96" s="683"/>
      <c r="G96" s="685"/>
      <c r="H96" s="734"/>
      <c r="I96" s="673"/>
      <c r="J96" s="805"/>
      <c r="K96" s="793"/>
    </row>
    <row r="97" spans="1:11" s="546" customFormat="1" ht="39.75" customHeight="1">
      <c r="A97" s="670">
        <v>1</v>
      </c>
      <c r="B97" s="557" t="s">
        <v>59</v>
      </c>
      <c r="C97" s="677"/>
      <c r="D97" s="685"/>
      <c r="E97" s="685"/>
      <c r="F97" s="683"/>
      <c r="G97" s="685"/>
      <c r="H97" s="734"/>
      <c r="I97" s="673"/>
      <c r="J97" s="805">
        <f>F97-G97</f>
        <v>0</v>
      </c>
      <c r="K97" s="793"/>
    </row>
    <row r="98" spans="1:11" s="768" customFormat="1" ht="36">
      <c r="A98" s="764"/>
      <c r="B98" s="765" t="s">
        <v>60</v>
      </c>
      <c r="C98" s="766" t="s">
        <v>166</v>
      </c>
      <c r="D98" s="811">
        <v>58379</v>
      </c>
      <c r="E98" s="812">
        <v>98000</v>
      </c>
      <c r="F98" s="812">
        <v>129000</v>
      </c>
      <c r="G98" s="812">
        <v>66739</v>
      </c>
      <c r="H98" s="813">
        <f>G98/F98*100</f>
        <v>51.735658914728674</v>
      </c>
      <c r="I98" s="814">
        <f>G98/D98*100</f>
        <v>114.32021788656881</v>
      </c>
      <c r="J98" s="808">
        <f>F98-G98</f>
        <v>62261</v>
      </c>
      <c r="K98" s="815" t="s">
        <v>365</v>
      </c>
    </row>
    <row r="99" spans="1:11" s="546" customFormat="1" ht="39.75" customHeight="1">
      <c r="A99" s="670">
        <v>2</v>
      </c>
      <c r="B99" s="557" t="s">
        <v>61</v>
      </c>
      <c r="C99" s="677"/>
      <c r="D99" s="685"/>
      <c r="E99" s="685"/>
      <c r="F99" s="683"/>
      <c r="G99" s="685"/>
      <c r="H99" s="734"/>
      <c r="I99" s="673"/>
      <c r="J99" s="805"/>
      <c r="K99" s="793"/>
    </row>
    <row r="100" spans="1:11" ht="39.75" customHeight="1">
      <c r="A100" s="671" t="s">
        <v>9</v>
      </c>
      <c r="B100" s="558" t="s">
        <v>62</v>
      </c>
      <c r="C100" s="816" t="s">
        <v>63</v>
      </c>
      <c r="D100" s="694">
        <v>12.3</v>
      </c>
      <c r="E100" s="695">
        <v>24.6</v>
      </c>
      <c r="F100" s="673">
        <v>25.93</v>
      </c>
      <c r="G100" s="694">
        <v>13.165833333333332</v>
      </c>
      <c r="H100" s="734">
        <f>G100/F100*100</f>
        <v>50.774521146676946</v>
      </c>
      <c r="I100" s="673">
        <f>G100/D100*100</f>
        <v>107.03929539295392</v>
      </c>
      <c r="J100" s="805">
        <f>F100-G100</f>
        <v>12.764166666666668</v>
      </c>
      <c r="K100" s="794"/>
    </row>
    <row r="101" spans="1:11" ht="39.75" customHeight="1">
      <c r="A101" s="671" t="s">
        <v>9</v>
      </c>
      <c r="B101" s="558" t="s">
        <v>64</v>
      </c>
      <c r="C101" s="816" t="s">
        <v>11</v>
      </c>
      <c r="D101" s="696">
        <v>5750</v>
      </c>
      <c r="E101" s="697">
        <v>11500</v>
      </c>
      <c r="F101" s="672">
        <v>12059</v>
      </c>
      <c r="G101" s="696">
        <v>6129.991666666666</v>
      </c>
      <c r="H101" s="673">
        <f>G101/F101*100</f>
        <v>50.83333333333333</v>
      </c>
      <c r="I101" s="673">
        <f>G101/D101*100</f>
        <v>106.60855072463767</v>
      </c>
      <c r="J101" s="805">
        <f>F101-G101</f>
        <v>5929.008333333334</v>
      </c>
      <c r="K101" s="794"/>
    </row>
    <row r="102" spans="1:11" ht="39.75" customHeight="1">
      <c r="A102" s="671" t="s">
        <v>9</v>
      </c>
      <c r="B102" s="558" t="s">
        <v>65</v>
      </c>
      <c r="C102" s="816" t="s">
        <v>11</v>
      </c>
      <c r="D102" s="696">
        <v>18.75</v>
      </c>
      <c r="E102" s="697">
        <v>37.5</v>
      </c>
      <c r="F102" s="673">
        <v>39.92</v>
      </c>
      <c r="G102" s="696">
        <v>20.2825</v>
      </c>
      <c r="H102" s="673">
        <f>G102/F102*100</f>
        <v>50.80786573146292</v>
      </c>
      <c r="I102" s="673">
        <f>G102/D102*100</f>
        <v>108.17333333333332</v>
      </c>
      <c r="J102" s="805">
        <f>F102-G102</f>
        <v>19.637500000000003</v>
      </c>
      <c r="K102" s="794"/>
    </row>
    <row r="103" spans="1:11" ht="39.75" customHeight="1">
      <c r="A103" s="671" t="s">
        <v>9</v>
      </c>
      <c r="B103" s="558" t="s">
        <v>66</v>
      </c>
      <c r="C103" s="816" t="s">
        <v>67</v>
      </c>
      <c r="D103" s="696">
        <v>468</v>
      </c>
      <c r="E103" s="697">
        <v>936</v>
      </c>
      <c r="F103" s="672">
        <v>1000</v>
      </c>
      <c r="G103" s="696">
        <v>504.16666666666663</v>
      </c>
      <c r="H103" s="673">
        <f>G103/F103*100</f>
        <v>50.416666666666664</v>
      </c>
      <c r="I103" s="673">
        <f>G103/D103*100</f>
        <v>107.72792022792021</v>
      </c>
      <c r="J103" s="805">
        <f>F103-G103</f>
        <v>495.83333333333337</v>
      </c>
      <c r="K103" s="794"/>
    </row>
    <row r="104" spans="1:11" ht="39.75" customHeight="1">
      <c r="A104" s="686" t="s">
        <v>9</v>
      </c>
      <c r="B104" s="567" t="s">
        <v>68</v>
      </c>
      <c r="C104" s="687" t="s">
        <v>69</v>
      </c>
      <c r="D104" s="698">
        <v>9800</v>
      </c>
      <c r="E104" s="699">
        <v>19600</v>
      </c>
      <c r="F104" s="688">
        <v>20150</v>
      </c>
      <c r="G104" s="698">
        <v>10209.333333333334</v>
      </c>
      <c r="H104" s="700">
        <f>G104/F104*100</f>
        <v>50.66666666666667</v>
      </c>
      <c r="I104" s="700">
        <f>G104/D104*100</f>
        <v>104.17687074829934</v>
      </c>
      <c r="J104" s="810">
        <f>F104-G104</f>
        <v>9940.666666666666</v>
      </c>
      <c r="K104" s="802"/>
    </row>
  </sheetData>
  <sheetProtection/>
  <mergeCells count="12">
    <mergeCell ref="C7:C8"/>
    <mergeCell ref="F7:G7"/>
    <mergeCell ref="K7:K8"/>
    <mergeCell ref="K92:K95"/>
    <mergeCell ref="H7:I7"/>
    <mergeCell ref="J7:J8"/>
    <mergeCell ref="A2:J2"/>
    <mergeCell ref="A3:J3"/>
    <mergeCell ref="A4:J4"/>
    <mergeCell ref="D7:E7"/>
    <mergeCell ref="A7:A8"/>
    <mergeCell ref="B7:B8"/>
  </mergeCells>
  <printOptions/>
  <pageMargins left="0.44" right="0.2" top="0.47" bottom="0.36" header="0.3" footer="0.3"/>
  <pageSetup horizontalDpi="600" verticalDpi="600" orientation="landscape" paperSize="9" scale="13" r:id="rId3"/>
  <legacyDrawing r:id="rId2"/>
</worksheet>
</file>

<file path=xl/worksheets/sheet8.xml><?xml version="1.0" encoding="utf-8"?>
<worksheet xmlns="http://schemas.openxmlformats.org/spreadsheetml/2006/main" xmlns:r="http://schemas.openxmlformats.org/officeDocument/2006/relationships">
  <dimension ref="A2:K36"/>
  <sheetViews>
    <sheetView view="pageBreakPreview" zoomScale="60" zoomScaleNormal="70" zoomScalePageLayoutView="0" workbookViewId="0" topLeftCell="A1">
      <pane ySplit="7" topLeftCell="A8" activePane="bottomLeft" state="frozen"/>
      <selection pane="topLeft" activeCell="A1" sqref="A1"/>
      <selection pane="bottomLeft" activeCell="E14" sqref="E14"/>
    </sheetView>
  </sheetViews>
  <sheetFormatPr defaultColWidth="8.796875" defaultRowHeight="18.75"/>
  <cols>
    <col min="1" max="1" width="4.69921875" style="553" customWidth="1"/>
    <col min="2" max="2" width="36.69921875" style="553" customWidth="1"/>
    <col min="3" max="3" width="14" style="553" customWidth="1"/>
    <col min="4" max="4" width="11.296875" style="553" customWidth="1"/>
    <col min="5" max="5" width="9.59765625" style="553" customWidth="1"/>
    <col min="6" max="6" width="8.69921875" style="553" customWidth="1"/>
    <col min="7" max="7" width="12.69921875" style="553" customWidth="1"/>
    <col min="8" max="8" width="12.8984375" style="553" customWidth="1"/>
    <col min="9" max="9" width="11.69921875" style="553" customWidth="1"/>
    <col min="10" max="10" width="19.19921875" style="553" customWidth="1"/>
    <col min="11" max="11" width="8.69921875" style="545" customWidth="1"/>
    <col min="12" max="16384" width="8.69921875" style="545" customWidth="1"/>
  </cols>
  <sheetData>
    <row r="2" spans="1:10" s="546" customFormat="1" ht="16.5" customHeight="1">
      <c r="A2" s="892" t="s">
        <v>350</v>
      </c>
      <c r="B2" s="892"/>
      <c r="C2" s="892"/>
      <c r="D2" s="892"/>
      <c r="E2" s="892"/>
      <c r="F2" s="892"/>
      <c r="G2" s="892"/>
      <c r="H2" s="892"/>
      <c r="I2" s="892"/>
      <c r="J2" s="892"/>
    </row>
    <row r="3" spans="1:10" s="546" customFormat="1" ht="17.25">
      <c r="A3" s="892" t="s">
        <v>351</v>
      </c>
      <c r="B3" s="892"/>
      <c r="C3" s="892"/>
      <c r="D3" s="892"/>
      <c r="E3" s="892"/>
      <c r="F3" s="892"/>
      <c r="G3" s="892"/>
      <c r="H3" s="892"/>
      <c r="I3" s="892"/>
      <c r="J3" s="892"/>
    </row>
    <row r="4" spans="1:10" ht="18">
      <c r="A4" s="893" t="s">
        <v>352</v>
      </c>
      <c r="B4" s="893"/>
      <c r="C4" s="893"/>
      <c r="D4" s="893"/>
      <c r="E4" s="893"/>
      <c r="F4" s="893"/>
      <c r="G4" s="893"/>
      <c r="H4" s="893"/>
      <c r="I4" s="893"/>
      <c r="J4" s="893"/>
    </row>
    <row r="6" spans="1:10" ht="18">
      <c r="A6" s="883" t="s">
        <v>0</v>
      </c>
      <c r="B6" s="873" t="s">
        <v>1</v>
      </c>
      <c r="C6" s="873" t="s">
        <v>326</v>
      </c>
      <c r="D6" s="873" t="s">
        <v>182</v>
      </c>
      <c r="E6" s="873"/>
      <c r="F6" s="873" t="s">
        <v>338</v>
      </c>
      <c r="G6" s="873"/>
      <c r="H6" s="873" t="s">
        <v>327</v>
      </c>
      <c r="I6" s="873"/>
      <c r="J6" s="874" t="s">
        <v>342</v>
      </c>
    </row>
    <row r="7" spans="1:10" ht="53.25" customHeight="1">
      <c r="A7" s="884"/>
      <c r="B7" s="885"/>
      <c r="C7" s="885"/>
      <c r="D7" s="533" t="s">
        <v>349</v>
      </c>
      <c r="E7" s="533" t="s">
        <v>346</v>
      </c>
      <c r="F7" s="533" t="s">
        <v>28</v>
      </c>
      <c r="G7" s="533" t="s">
        <v>340</v>
      </c>
      <c r="H7" s="533" t="s">
        <v>220</v>
      </c>
      <c r="I7" s="533" t="s">
        <v>341</v>
      </c>
      <c r="J7" s="875"/>
    </row>
    <row r="8" spans="1:10" ht="39.75" customHeight="1">
      <c r="A8" s="27" t="s">
        <v>3</v>
      </c>
      <c r="B8" s="33" t="s">
        <v>113</v>
      </c>
      <c r="C8" s="28"/>
      <c r="D8" s="586"/>
      <c r="E8" s="586"/>
      <c r="F8" s="586"/>
      <c r="G8" s="586"/>
      <c r="H8" s="586"/>
      <c r="I8" s="586"/>
      <c r="J8" s="709"/>
    </row>
    <row r="9" spans="1:10" ht="39.75" customHeight="1">
      <c r="A9" s="29">
        <v>1</v>
      </c>
      <c r="B9" s="35" t="s">
        <v>17</v>
      </c>
      <c r="C9" s="30" t="s">
        <v>18</v>
      </c>
      <c r="D9" s="710" t="s">
        <v>9</v>
      </c>
      <c r="E9" s="582">
        <v>50692</v>
      </c>
      <c r="F9" s="582">
        <v>51320</v>
      </c>
      <c r="G9" s="891"/>
      <c r="H9" s="891"/>
      <c r="I9" s="891"/>
      <c r="J9" s="588">
        <f>F9</f>
        <v>51320</v>
      </c>
    </row>
    <row r="10" spans="1:10" s="546" customFormat="1" ht="39.75" customHeight="1">
      <c r="A10" s="27" t="s">
        <v>16</v>
      </c>
      <c r="B10" s="33" t="s">
        <v>357</v>
      </c>
      <c r="C10" s="28"/>
      <c r="D10" s="591"/>
      <c r="E10" s="591"/>
      <c r="F10" s="590"/>
      <c r="G10" s="591"/>
      <c r="H10" s="591"/>
      <c r="I10" s="591"/>
      <c r="J10" s="711"/>
    </row>
    <row r="11" spans="1:10" s="546" customFormat="1" ht="39.75" customHeight="1">
      <c r="A11" s="27">
        <v>1</v>
      </c>
      <c r="B11" s="36" t="s">
        <v>115</v>
      </c>
      <c r="C11" s="28" t="s">
        <v>116</v>
      </c>
      <c r="D11" s="590">
        <f>D12+D17+D21</f>
        <v>14839</v>
      </c>
      <c r="E11" s="590">
        <f>E12+E17+E21</f>
        <v>14834</v>
      </c>
      <c r="F11" s="590">
        <f>F12+F17+F21</f>
        <v>15691</v>
      </c>
      <c r="G11" s="590">
        <f>G12+G17+G21</f>
        <v>14691</v>
      </c>
      <c r="H11" s="592">
        <f aca="true" t="shared" si="0" ref="H11:H21">G11/F11*100</f>
        <v>93.62691989038302</v>
      </c>
      <c r="I11" s="592">
        <f aca="true" t="shared" si="1" ref="I11:I21">G11/D11*100</f>
        <v>99.00262820944808</v>
      </c>
      <c r="J11" s="719">
        <f aca="true" t="shared" si="2" ref="J11:J21">F11-G11</f>
        <v>1000</v>
      </c>
    </row>
    <row r="12" spans="1:10" s="548" customFormat="1" ht="39.75" customHeight="1">
      <c r="A12" s="705" t="s">
        <v>35</v>
      </c>
      <c r="B12" s="706" t="s">
        <v>117</v>
      </c>
      <c r="C12" s="707" t="s">
        <v>116</v>
      </c>
      <c r="D12" s="712">
        <f>D13+D15</f>
        <v>3817</v>
      </c>
      <c r="E12" s="712">
        <f>E13+E15</f>
        <v>3817</v>
      </c>
      <c r="F12" s="712">
        <f>F13+F15</f>
        <v>3850</v>
      </c>
      <c r="G12" s="712">
        <f>G13+G15</f>
        <v>3795</v>
      </c>
      <c r="H12" s="713">
        <f t="shared" si="0"/>
        <v>98.57142857142858</v>
      </c>
      <c r="I12" s="713">
        <f t="shared" si="1"/>
        <v>99.42363112391931</v>
      </c>
      <c r="J12" s="723">
        <f t="shared" si="2"/>
        <v>55</v>
      </c>
    </row>
    <row r="13" spans="1:10" ht="39.75" customHeight="1">
      <c r="A13" s="29"/>
      <c r="B13" s="35" t="s">
        <v>118</v>
      </c>
      <c r="C13" s="30" t="s">
        <v>116</v>
      </c>
      <c r="D13" s="586">
        <v>223</v>
      </c>
      <c r="E13" s="586">
        <v>223</v>
      </c>
      <c r="F13" s="582">
        <v>255</v>
      </c>
      <c r="G13" s="586">
        <v>219</v>
      </c>
      <c r="H13" s="587">
        <f t="shared" si="0"/>
        <v>85.88235294117646</v>
      </c>
      <c r="I13" s="587">
        <f t="shared" si="1"/>
        <v>98.20627802690582</v>
      </c>
      <c r="J13" s="716">
        <f t="shared" si="2"/>
        <v>36</v>
      </c>
    </row>
    <row r="14" spans="1:10" s="547" customFormat="1" ht="39.75" customHeight="1">
      <c r="A14" s="31"/>
      <c r="B14" s="37" t="s">
        <v>119</v>
      </c>
      <c r="C14" s="32" t="s">
        <v>116</v>
      </c>
      <c r="D14" s="720">
        <v>223</v>
      </c>
      <c r="E14" s="720">
        <v>223</v>
      </c>
      <c r="F14" s="721">
        <v>235</v>
      </c>
      <c r="G14" s="720">
        <v>219</v>
      </c>
      <c r="H14" s="722">
        <f t="shared" si="0"/>
        <v>93.19148936170212</v>
      </c>
      <c r="I14" s="722">
        <f t="shared" si="1"/>
        <v>98.20627802690582</v>
      </c>
      <c r="J14" s="724">
        <f t="shared" si="2"/>
        <v>16</v>
      </c>
    </row>
    <row r="15" spans="1:10" ht="39.75" customHeight="1">
      <c r="A15" s="29"/>
      <c r="B15" s="35" t="s">
        <v>120</v>
      </c>
      <c r="C15" s="30" t="s">
        <v>116</v>
      </c>
      <c r="D15" s="582">
        <v>3594</v>
      </c>
      <c r="E15" s="582">
        <v>3594</v>
      </c>
      <c r="F15" s="582">
        <v>3595</v>
      </c>
      <c r="G15" s="582">
        <v>3576</v>
      </c>
      <c r="H15" s="587">
        <f t="shared" si="0"/>
        <v>99.47148817802504</v>
      </c>
      <c r="I15" s="587">
        <f t="shared" si="1"/>
        <v>99.4991652754591</v>
      </c>
      <c r="J15" s="716">
        <f t="shared" si="2"/>
        <v>19</v>
      </c>
    </row>
    <row r="16" spans="1:10" s="547" customFormat="1" ht="39.75" customHeight="1">
      <c r="A16" s="31"/>
      <c r="B16" s="37" t="s">
        <v>119</v>
      </c>
      <c r="C16" s="32" t="s">
        <v>116</v>
      </c>
      <c r="D16" s="721">
        <v>3594</v>
      </c>
      <c r="E16" s="721">
        <v>3594</v>
      </c>
      <c r="F16" s="721">
        <v>3595</v>
      </c>
      <c r="G16" s="721">
        <v>3576</v>
      </c>
      <c r="H16" s="722">
        <f t="shared" si="0"/>
        <v>99.47148817802504</v>
      </c>
      <c r="I16" s="722">
        <f t="shared" si="1"/>
        <v>99.4991652754591</v>
      </c>
      <c r="J16" s="724">
        <f t="shared" si="2"/>
        <v>19</v>
      </c>
    </row>
    <row r="17" spans="1:10" s="548" customFormat="1" ht="39.75" customHeight="1">
      <c r="A17" s="705" t="s">
        <v>43</v>
      </c>
      <c r="B17" s="706" t="s">
        <v>121</v>
      </c>
      <c r="C17" s="707" t="s">
        <v>116</v>
      </c>
      <c r="D17" s="712">
        <f>D18+D19+D20</f>
        <v>10962</v>
      </c>
      <c r="E17" s="712">
        <f>E18+E19+E20</f>
        <v>10957</v>
      </c>
      <c r="F17" s="712">
        <f>F18+F19+F20</f>
        <v>11781</v>
      </c>
      <c r="G17" s="712">
        <f>G18+G19+G20</f>
        <v>10843</v>
      </c>
      <c r="H17" s="713">
        <f t="shared" si="0"/>
        <v>92.03802733214498</v>
      </c>
      <c r="I17" s="713">
        <f t="shared" si="1"/>
        <v>98.91443167305236</v>
      </c>
      <c r="J17" s="723">
        <f t="shared" si="2"/>
        <v>938</v>
      </c>
    </row>
    <row r="18" spans="1:10" ht="39.75" customHeight="1">
      <c r="A18" s="29"/>
      <c r="B18" s="35" t="s">
        <v>122</v>
      </c>
      <c r="C18" s="30" t="s">
        <v>116</v>
      </c>
      <c r="D18" s="598">
        <v>6283</v>
      </c>
      <c r="E18" s="598">
        <v>6283</v>
      </c>
      <c r="F18" s="582">
        <v>6425</v>
      </c>
      <c r="G18" s="598">
        <v>6277</v>
      </c>
      <c r="H18" s="587">
        <f t="shared" si="0"/>
        <v>97.69649805447472</v>
      </c>
      <c r="I18" s="587">
        <f t="shared" si="1"/>
        <v>99.90450421773038</v>
      </c>
      <c r="J18" s="716">
        <f t="shared" si="2"/>
        <v>148</v>
      </c>
    </row>
    <row r="19" spans="1:10" ht="39.75" customHeight="1">
      <c r="A19" s="29"/>
      <c r="B19" s="35" t="s">
        <v>123</v>
      </c>
      <c r="C19" s="30" t="s">
        <v>116</v>
      </c>
      <c r="D19" s="598">
        <v>3702</v>
      </c>
      <c r="E19" s="598">
        <v>3702</v>
      </c>
      <c r="F19" s="582">
        <v>4240</v>
      </c>
      <c r="G19" s="598">
        <v>3628</v>
      </c>
      <c r="H19" s="587">
        <f t="shared" si="0"/>
        <v>85.56603773584905</v>
      </c>
      <c r="I19" s="587">
        <f t="shared" si="1"/>
        <v>98.00108049702864</v>
      </c>
      <c r="J19" s="716">
        <f t="shared" si="2"/>
        <v>612</v>
      </c>
    </row>
    <row r="20" spans="1:10" ht="39.75" customHeight="1">
      <c r="A20" s="29"/>
      <c r="B20" s="35" t="s">
        <v>125</v>
      </c>
      <c r="C20" s="30" t="s">
        <v>116</v>
      </c>
      <c r="D20" s="586">
        <v>977</v>
      </c>
      <c r="E20" s="586">
        <v>972</v>
      </c>
      <c r="F20" s="582">
        <v>1116</v>
      </c>
      <c r="G20" s="586">
        <v>938</v>
      </c>
      <c r="H20" s="587">
        <f t="shared" si="0"/>
        <v>84.05017921146953</v>
      </c>
      <c r="I20" s="587">
        <f t="shared" si="1"/>
        <v>96.00818833162744</v>
      </c>
      <c r="J20" s="716">
        <f t="shared" si="2"/>
        <v>178</v>
      </c>
    </row>
    <row r="21" spans="1:10" s="548" customFormat="1" ht="39.75" customHeight="1">
      <c r="A21" s="705" t="s">
        <v>49</v>
      </c>
      <c r="B21" s="706" t="s">
        <v>124</v>
      </c>
      <c r="C21" s="707" t="s">
        <v>116</v>
      </c>
      <c r="D21" s="714">
        <f>D22+D23</f>
        <v>60</v>
      </c>
      <c r="E21" s="714">
        <f>E22+E23</f>
        <v>60</v>
      </c>
      <c r="F21" s="714">
        <f>F22+F23</f>
        <v>60</v>
      </c>
      <c r="G21" s="714">
        <f>G22+G23</f>
        <v>53</v>
      </c>
      <c r="H21" s="713">
        <f t="shared" si="0"/>
        <v>88.33333333333333</v>
      </c>
      <c r="I21" s="713">
        <f t="shared" si="1"/>
        <v>88.33333333333333</v>
      </c>
      <c r="J21" s="723">
        <f t="shared" si="2"/>
        <v>7</v>
      </c>
    </row>
    <row r="22" spans="1:10" ht="39.75" customHeight="1">
      <c r="A22" s="29"/>
      <c r="B22" s="35" t="s">
        <v>123</v>
      </c>
      <c r="C22" s="30" t="s">
        <v>116</v>
      </c>
      <c r="D22" s="586"/>
      <c r="E22" s="586"/>
      <c r="F22" s="582">
        <v>0</v>
      </c>
      <c r="G22" s="586"/>
      <c r="H22" s="587"/>
      <c r="I22" s="587"/>
      <c r="J22" s="716"/>
    </row>
    <row r="23" spans="1:11" ht="39.75" customHeight="1">
      <c r="A23" s="29"/>
      <c r="B23" s="35" t="s">
        <v>125</v>
      </c>
      <c r="C23" s="30" t="s">
        <v>116</v>
      </c>
      <c r="D23" s="586">
        <v>60</v>
      </c>
      <c r="E23" s="586">
        <v>60</v>
      </c>
      <c r="F23" s="582">
        <v>60</v>
      </c>
      <c r="G23" s="586">
        <v>53</v>
      </c>
      <c r="H23" s="587">
        <f>G23/F23*100</f>
        <v>88.33333333333333</v>
      </c>
      <c r="I23" s="587">
        <f>G23/D23*100</f>
        <v>88.33333333333333</v>
      </c>
      <c r="J23" s="716">
        <f>F23-G23</f>
        <v>7</v>
      </c>
      <c r="K23" s="574"/>
    </row>
    <row r="24" spans="1:10" s="546" customFormat="1" ht="39.75" customHeight="1">
      <c r="A24" s="27" t="s">
        <v>26</v>
      </c>
      <c r="B24" s="33" t="s">
        <v>126</v>
      </c>
      <c r="C24" s="28"/>
      <c r="D24" s="591"/>
      <c r="E24" s="591"/>
      <c r="F24" s="590"/>
      <c r="G24" s="591"/>
      <c r="H24" s="592"/>
      <c r="I24" s="592"/>
      <c r="J24" s="719"/>
    </row>
    <row r="25" spans="1:10" ht="39.75" customHeight="1">
      <c r="A25" s="29"/>
      <c r="B25" s="38" t="s">
        <v>127</v>
      </c>
      <c r="C25" s="30" t="s">
        <v>55</v>
      </c>
      <c r="D25" s="586">
        <v>12</v>
      </c>
      <c r="E25" s="586">
        <v>12</v>
      </c>
      <c r="F25" s="582">
        <v>12</v>
      </c>
      <c r="G25" s="586">
        <v>12</v>
      </c>
      <c r="H25" s="587">
        <f>G25/F25*100</f>
        <v>100</v>
      </c>
      <c r="I25" s="587">
        <f>G25/D25*100</f>
        <v>100</v>
      </c>
      <c r="J25" s="716"/>
    </row>
    <row r="26" spans="1:10" s="546" customFormat="1" ht="39.75" customHeight="1">
      <c r="A26" s="27" t="s">
        <v>128</v>
      </c>
      <c r="B26" s="33" t="s">
        <v>154</v>
      </c>
      <c r="C26" s="28"/>
      <c r="D26" s="591"/>
      <c r="E26" s="591"/>
      <c r="F26" s="590"/>
      <c r="G26" s="591"/>
      <c r="H26" s="592"/>
      <c r="I26" s="592"/>
      <c r="J26" s="719"/>
    </row>
    <row r="27" spans="1:10" ht="39.75" customHeight="1">
      <c r="A27" s="29"/>
      <c r="B27" s="35" t="s">
        <v>155</v>
      </c>
      <c r="C27" s="30" t="s">
        <v>156</v>
      </c>
      <c r="D27" s="580">
        <f>D29+D30+D31</f>
        <v>185</v>
      </c>
      <c r="E27" s="580">
        <f>E29+E30+E31</f>
        <v>185</v>
      </c>
      <c r="F27" s="582">
        <v>195</v>
      </c>
      <c r="G27" s="584">
        <f>G29+G30+G31</f>
        <v>185</v>
      </c>
      <c r="H27" s="587">
        <f>G27/F27*100</f>
        <v>94.87179487179486</v>
      </c>
      <c r="I27" s="587">
        <f>G27/D27*100</f>
        <v>100</v>
      </c>
      <c r="J27" s="716">
        <f>F27-G27</f>
        <v>10</v>
      </c>
    </row>
    <row r="28" spans="1:10" ht="39.75" customHeight="1">
      <c r="A28" s="31"/>
      <c r="B28" s="37" t="s">
        <v>129</v>
      </c>
      <c r="C28" s="32"/>
      <c r="D28" s="580"/>
      <c r="E28" s="580"/>
      <c r="F28" s="587"/>
      <c r="G28" s="580"/>
      <c r="H28" s="587"/>
      <c r="I28" s="587"/>
      <c r="J28" s="716"/>
    </row>
    <row r="29" spans="1:10" ht="39.75" customHeight="1">
      <c r="A29" s="31"/>
      <c r="B29" s="37" t="s">
        <v>130</v>
      </c>
      <c r="C29" s="30" t="s">
        <v>156</v>
      </c>
      <c r="D29" s="580">
        <v>120</v>
      </c>
      <c r="E29" s="580">
        <v>120</v>
      </c>
      <c r="F29" s="587">
        <v>130</v>
      </c>
      <c r="G29" s="580">
        <v>120</v>
      </c>
      <c r="H29" s="587">
        <f>G29/F29*100</f>
        <v>92.3076923076923</v>
      </c>
      <c r="I29" s="587">
        <f>G29/D29*100</f>
        <v>100</v>
      </c>
      <c r="J29" s="716">
        <f>F29-G29</f>
        <v>10</v>
      </c>
    </row>
    <row r="30" spans="1:10" ht="39.75" customHeight="1">
      <c r="A30" s="31"/>
      <c r="B30" s="37" t="s">
        <v>131</v>
      </c>
      <c r="C30" s="30" t="s">
        <v>156</v>
      </c>
      <c r="D30" s="580">
        <v>10</v>
      </c>
      <c r="E30" s="580">
        <v>10</v>
      </c>
      <c r="F30" s="587">
        <v>10</v>
      </c>
      <c r="G30" s="580">
        <v>10</v>
      </c>
      <c r="H30" s="587">
        <f>G30/F30*100</f>
        <v>100</v>
      </c>
      <c r="I30" s="587">
        <f>G30/D30*100</f>
        <v>100</v>
      </c>
      <c r="J30" s="716"/>
    </row>
    <row r="31" spans="1:10" ht="39.75" customHeight="1">
      <c r="A31" s="31"/>
      <c r="B31" s="37" t="s">
        <v>132</v>
      </c>
      <c r="C31" s="30" t="s">
        <v>156</v>
      </c>
      <c r="D31" s="580">
        <v>55</v>
      </c>
      <c r="E31" s="580">
        <v>55</v>
      </c>
      <c r="F31" s="587">
        <v>55</v>
      </c>
      <c r="G31" s="580">
        <v>55</v>
      </c>
      <c r="H31" s="587">
        <f>G31/F31*100</f>
        <v>100</v>
      </c>
      <c r="I31" s="587">
        <f>G31/D31*100</f>
        <v>100</v>
      </c>
      <c r="J31" s="716"/>
    </row>
    <row r="32" spans="1:10" s="546" customFormat="1" ht="39.75" customHeight="1">
      <c r="A32" s="327" t="s">
        <v>312</v>
      </c>
      <c r="B32" s="328" t="s">
        <v>313</v>
      </c>
      <c r="C32" s="708"/>
      <c r="D32" s="591"/>
      <c r="E32" s="591"/>
      <c r="F32" s="592"/>
      <c r="G32" s="591"/>
      <c r="H32" s="592"/>
      <c r="I32" s="592"/>
      <c r="J32" s="719"/>
    </row>
    <row r="33" spans="1:10" s="718" customFormat="1" ht="39.75" customHeight="1">
      <c r="A33" s="331">
        <v>1</v>
      </c>
      <c r="B33" s="332" t="s">
        <v>314</v>
      </c>
      <c r="C33" s="333" t="s">
        <v>8</v>
      </c>
      <c r="D33" s="580">
        <v>97.68</v>
      </c>
      <c r="E33" s="580">
        <v>90.51</v>
      </c>
      <c r="F33" s="587">
        <v>90.8</v>
      </c>
      <c r="G33" s="580">
        <v>88.1</v>
      </c>
      <c r="H33" s="587">
        <f>G33/F33*100</f>
        <v>97.02643171806167</v>
      </c>
      <c r="I33" s="587">
        <f>G33/D33*100</f>
        <v>90.19246519246518</v>
      </c>
      <c r="J33" s="716">
        <f>F33-G33</f>
        <v>2.700000000000003</v>
      </c>
    </row>
    <row r="34" spans="1:10" s="718" customFormat="1" ht="39.75" customHeight="1">
      <c r="A34" s="331">
        <v>2</v>
      </c>
      <c r="B34" s="332" t="s">
        <v>315</v>
      </c>
      <c r="C34" s="333" t="s">
        <v>8</v>
      </c>
      <c r="D34" s="580">
        <v>13.06</v>
      </c>
      <c r="E34" s="580">
        <v>14.39</v>
      </c>
      <c r="F34" s="587">
        <v>15.64</v>
      </c>
      <c r="G34" s="580">
        <v>14.25</v>
      </c>
      <c r="H34" s="587">
        <f>G34/F34*100</f>
        <v>91.11253196930946</v>
      </c>
      <c r="I34" s="587">
        <f>G34/D34*100</f>
        <v>109.11179173047474</v>
      </c>
      <c r="J34" s="716">
        <f>F34-G34</f>
        <v>1.3900000000000006</v>
      </c>
    </row>
    <row r="35" spans="1:10" ht="39.75" customHeight="1">
      <c r="A35" s="334"/>
      <c r="B35" s="568" t="s">
        <v>316</v>
      </c>
      <c r="C35" s="333" t="s">
        <v>8</v>
      </c>
      <c r="D35" s="580"/>
      <c r="E35" s="580"/>
      <c r="F35" s="587">
        <v>7.09</v>
      </c>
      <c r="G35" s="580"/>
      <c r="H35" s="587">
        <f>G35/F35*100</f>
        <v>0</v>
      </c>
      <c r="I35" s="587"/>
      <c r="J35" s="716">
        <f>F35-G35</f>
        <v>7.09</v>
      </c>
    </row>
    <row r="36" spans="1:10" ht="39.75" customHeight="1">
      <c r="A36" s="336">
        <v>3</v>
      </c>
      <c r="B36" s="569" t="s">
        <v>317</v>
      </c>
      <c r="C36" s="338" t="s">
        <v>8</v>
      </c>
      <c r="D36" s="715">
        <v>6.38</v>
      </c>
      <c r="E36" s="715">
        <v>6.62</v>
      </c>
      <c r="F36" s="593">
        <v>6.5</v>
      </c>
      <c r="G36" s="715">
        <v>6.45</v>
      </c>
      <c r="H36" s="593">
        <f>G36/F36*100</f>
        <v>99.23076923076923</v>
      </c>
      <c r="I36" s="593">
        <f>G36/D36*100</f>
        <v>101.0971786833856</v>
      </c>
      <c r="J36" s="717"/>
    </row>
  </sheetData>
  <sheetProtection/>
  <mergeCells count="11">
    <mergeCell ref="C6:C7"/>
    <mergeCell ref="F6:G6"/>
    <mergeCell ref="G9:I9"/>
    <mergeCell ref="H6:I6"/>
    <mergeCell ref="J6:J7"/>
    <mergeCell ref="D6:E6"/>
    <mergeCell ref="A2:J2"/>
    <mergeCell ref="A3:J3"/>
    <mergeCell ref="A4:J4"/>
    <mergeCell ref="A6:A7"/>
    <mergeCell ref="B6:B7"/>
  </mergeCells>
  <printOptions/>
  <pageMargins left="0.34" right="0.26" top="0.4" bottom="0.44"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2:K7"/>
  <sheetViews>
    <sheetView zoomScalePageLayoutView="0" workbookViewId="0" topLeftCell="A1">
      <selection activeCell="H15" sqref="H15"/>
    </sheetView>
  </sheetViews>
  <sheetFormatPr defaultColWidth="8.796875" defaultRowHeight="18.75"/>
  <cols>
    <col min="1" max="1" width="2.8984375" style="0" bestFit="1" customWidth="1"/>
    <col min="2" max="2" width="32.09765625" style="0" bestFit="1" customWidth="1"/>
  </cols>
  <sheetData>
    <row r="2" spans="1:11" ht="18">
      <c r="A2" s="883" t="s">
        <v>0</v>
      </c>
      <c r="B2" s="873" t="s">
        <v>1</v>
      </c>
      <c r="C2" s="873" t="s">
        <v>326</v>
      </c>
      <c r="D2" s="873" t="s">
        <v>182</v>
      </c>
      <c r="E2" s="873"/>
      <c r="F2" s="873" t="s">
        <v>338</v>
      </c>
      <c r="G2" s="873"/>
      <c r="H2" s="873"/>
      <c r="I2" s="873" t="s">
        <v>327</v>
      </c>
      <c r="J2" s="873"/>
      <c r="K2" s="874" t="s">
        <v>342</v>
      </c>
    </row>
    <row r="3" spans="1:11" ht="46.5">
      <c r="A3" s="884"/>
      <c r="B3" s="885"/>
      <c r="C3" s="885"/>
      <c r="D3" s="533" t="s">
        <v>349</v>
      </c>
      <c r="E3" s="533" t="s">
        <v>346</v>
      </c>
      <c r="F3" s="533" t="s">
        <v>28</v>
      </c>
      <c r="G3" s="533" t="s">
        <v>339</v>
      </c>
      <c r="H3" s="533" t="s">
        <v>340</v>
      </c>
      <c r="I3" s="533" t="s">
        <v>220</v>
      </c>
      <c r="J3" s="533" t="s">
        <v>341</v>
      </c>
      <c r="K3" s="875"/>
    </row>
    <row r="4" spans="1:11" ht="18">
      <c r="A4" s="27" t="s">
        <v>16</v>
      </c>
      <c r="B4" s="33" t="s">
        <v>114</v>
      </c>
      <c r="C4" s="28"/>
      <c r="D4" s="550"/>
      <c r="E4" s="550"/>
      <c r="F4" s="570"/>
      <c r="G4" s="550"/>
      <c r="H4" s="550"/>
      <c r="I4" s="550"/>
      <c r="J4" s="550"/>
      <c r="K4" s="552"/>
    </row>
    <row r="5" spans="1:11" ht="18">
      <c r="A5" s="27" t="s">
        <v>49</v>
      </c>
      <c r="B5" s="33" t="s">
        <v>124</v>
      </c>
      <c r="C5" s="28" t="s">
        <v>116</v>
      </c>
      <c r="D5" s="550"/>
      <c r="E5" s="550"/>
      <c r="F5" s="570">
        <v>60</v>
      </c>
      <c r="G5" s="550"/>
      <c r="H5" s="550"/>
      <c r="I5" s="550"/>
      <c r="J5" s="550"/>
      <c r="K5" s="552"/>
    </row>
    <row r="6" spans="1:11" ht="18">
      <c r="A6" s="29"/>
      <c r="B6" s="35" t="s">
        <v>123</v>
      </c>
      <c r="C6" s="30" t="s">
        <v>116</v>
      </c>
      <c r="D6" s="550"/>
      <c r="E6" s="550"/>
      <c r="F6" s="570">
        <v>0</v>
      </c>
      <c r="G6" s="550"/>
      <c r="H6" s="550"/>
      <c r="I6" s="550"/>
      <c r="J6" s="550"/>
      <c r="K6" s="552"/>
    </row>
    <row r="7" spans="1:11" ht="18">
      <c r="A7" s="142"/>
      <c r="B7" s="577" t="s">
        <v>125</v>
      </c>
      <c r="C7" s="578" t="s">
        <v>116</v>
      </c>
      <c r="D7" s="555"/>
      <c r="E7" s="555"/>
      <c r="F7" s="579">
        <v>60</v>
      </c>
      <c r="G7" s="555"/>
      <c r="H7" s="555"/>
      <c r="I7" s="555"/>
      <c r="J7" s="555"/>
      <c r="K7" s="556"/>
    </row>
  </sheetData>
  <sheetProtection/>
  <mergeCells count="7">
    <mergeCell ref="K2:K3"/>
    <mergeCell ref="A2:A3"/>
    <mergeCell ref="B2:B3"/>
    <mergeCell ref="C2:C3"/>
    <mergeCell ref="D2:E2"/>
    <mergeCell ref="F2:H2"/>
    <mergeCell ref="I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2022-06-03T08:12:17Z</cp:lastPrinted>
  <dcterms:created xsi:type="dcterms:W3CDTF">2017-11-08T07:32:19Z</dcterms:created>
  <dcterms:modified xsi:type="dcterms:W3CDTF">2022-06-29T07:38:24Z</dcterms:modified>
  <cp:category/>
  <cp:version/>
  <cp:contentType/>
  <cp:contentStatus/>
</cp:coreProperties>
</file>