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6BDF677D-2925-4C76-B158-9ABEF0153204}" xr6:coauthVersionLast="47" xr6:coauthVersionMax="47" xr10:uidLastSave="{00000000-0000-0000-0000-000000000000}"/>
  <bookViews>
    <workbookView xWindow="-120" yWindow="-120" windowWidth="29040" windowHeight="15720" tabRatio="1000" activeTab="8" xr2:uid="{00000000-000D-0000-FFFF-FFFF00000000}"/>
  </bookViews>
  <sheets>
    <sheet name="48" sheetId="10" r:id="rId1"/>
    <sheet name="50" sheetId="12" r:id="rId2"/>
    <sheet name="51" sheetId="13" r:id="rId3"/>
    <sheet name="52" sheetId="2" r:id="rId4"/>
    <sheet name="53" sheetId="3" r:id="rId5"/>
    <sheet name="54" sheetId="4" r:id="rId6"/>
    <sheet name="58" sheetId="7" r:id="rId7"/>
    <sheet name="59" sheetId="8" r:id="rId8"/>
    <sheet name="61" sheetId="9" r:id="rId9"/>
  </sheets>
  <externalReferences>
    <externalReference r:id="rId10"/>
  </externalReferences>
  <definedNames>
    <definedName name="_xlnm._FilterDatabase" localSheetId="4" hidden="1">'53'!$A$11:$K$61</definedName>
    <definedName name="_xlnm._FilterDatabase" localSheetId="5" hidden="1">'54'!$A$1:$Y$112</definedName>
    <definedName name="ADP">#REF!</definedName>
    <definedName name="AKHAC">#REF!</definedName>
    <definedName name="ALTINH">#REF!</definedName>
    <definedName name="Anguon" localSheetId="0">'[1]Dt 2001'!#REF!</definedName>
    <definedName name="Anguon">'[1]Dt 2001'!#REF!</definedName>
    <definedName name="ANN">#REF!</definedName>
    <definedName name="ANQD">#REF!</definedName>
    <definedName name="ANQQH" localSheetId="0">'[1]Dt 2001'!#REF!</definedName>
    <definedName name="ANQQH">'[1]Dt 2001'!#REF!</definedName>
    <definedName name="ANSNN" localSheetId="0">'[1]Dt 2001'!#REF!</definedName>
    <definedName name="ANSNN">'[1]Dt 2001'!#REF!</definedName>
    <definedName name="ANSNNxnk" localSheetId="0">'[1]Dt 2001'!#REF!</definedName>
    <definedName name="ANSNNxnk">'[1]Dt 2001'!#REF!</definedName>
    <definedName name="APC" localSheetId="0">'[1]Dt 2001'!#REF!</definedName>
    <definedName name="APC">'[1]Dt 2001'!#REF!</definedName>
    <definedName name="ATW">#REF!</definedName>
    <definedName name="Can_doi">#REF!</definedName>
    <definedName name="DNNN">#REF!</definedName>
    <definedName name="Khac">#REF!</definedName>
    <definedName name="Khong_can_doi">#REF!</definedName>
    <definedName name="NQD">#REF!</definedName>
    <definedName name="NQQH" localSheetId="0">'[1]Dt 2001'!#REF!</definedName>
    <definedName name="NQQH">'[1]Dt 2001'!#REF!</definedName>
    <definedName name="NSNN" localSheetId="0">'[1]Dt 2001'!#REF!</definedName>
    <definedName name="NSNN">'[1]Dt 2001'!#REF!</definedName>
    <definedName name="page\x2dtotal" localSheetId="6">'58'!$A$27</definedName>
    <definedName name="page\x2dtotal" localSheetId="7">'59'!$A$26</definedName>
    <definedName name="page\x2dtotal" localSheetId="8">'61'!$A$54</definedName>
    <definedName name="page\x2dtotal">'54'!$A$119</definedName>
    <definedName name="page\x2dtotal\x2dmaster0" localSheetId="6">'58'!$A$27</definedName>
    <definedName name="page\x2dtotal\x2dmaster0" localSheetId="7">'59'!$A$26</definedName>
    <definedName name="page\x2dtotal\x2dmaster0" localSheetId="8">'61'!$A$54</definedName>
    <definedName name="page\x2dtotal\x2dmaster0">'54'!$A$119</definedName>
    <definedName name="PC" localSheetId="0">'[1]Dt 2001'!#REF!</definedName>
    <definedName name="PC">'[1]Dt 2001'!#REF!</definedName>
    <definedName name="Phan_cap">#REF!</definedName>
    <definedName name="Phi_le_phi">#REF!</definedName>
    <definedName name="_xlnm.Print_Area" localSheetId="0">'48'!$A$1:$F$43</definedName>
    <definedName name="_xlnm.Print_Area" localSheetId="1">'50'!$A$1:$H$70</definedName>
    <definedName name="_xlnm.Print_Area" localSheetId="2">'51'!$A$1:$E$40</definedName>
    <definedName name="_xlnm.Print_Area" localSheetId="3">'52'!$A$1:$F$50</definedName>
    <definedName name="_xlnm.Print_Area" localSheetId="4">'53'!$A$1:$K$62</definedName>
    <definedName name="_xlnm.Print_Area" localSheetId="5">'54'!$A$1:$Y$116</definedName>
    <definedName name="_xlnm.Print_Area" localSheetId="6">'58'!$A$1:$V$25</definedName>
    <definedName name="_xlnm.Print_Area" localSheetId="7">'59'!$A$1:$Z$24</definedName>
    <definedName name="_xlnm.Print_Area" localSheetId="8">'61'!$A$1:$BV$53</definedName>
    <definedName name="_xlnm.Print_Area">#REF!</definedName>
    <definedName name="PRINT_AREA_MI" localSheetId="0">#REF!</definedName>
    <definedName name="PRINT_AREA_MI">#REF!</definedName>
    <definedName name="_xlnm.Print_Titles" localSheetId="0">'48'!$8:$9</definedName>
    <definedName name="_xlnm.Print_Titles" localSheetId="1">'50'!$6:$8</definedName>
    <definedName name="_xlnm.Print_Titles" localSheetId="2">'51'!$7:$8</definedName>
    <definedName name="_xlnm.Print_Titles" localSheetId="3">'52'!$7:$9</definedName>
    <definedName name="_xlnm.Print_Titles" localSheetId="4">'53'!$8:$10</definedName>
    <definedName name="_xlnm.Print_Titles" localSheetId="5">'54'!$A:$B,'54'!$5:$9</definedName>
    <definedName name="_xlnm.Print_Titles" localSheetId="8">'61'!$A:$B,'61'!$7:$12</definedName>
    <definedName name="TW">#REF!</definedName>
  </definedNames>
  <calcPr calcId="191029"/>
</workbook>
</file>

<file path=xl/calcChain.xml><?xml version="1.0" encoding="utf-8"?>
<calcChain xmlns="http://schemas.openxmlformats.org/spreadsheetml/2006/main">
  <c r="A4" i="2" l="1"/>
  <c r="A4" i="13"/>
  <c r="D36" i="13"/>
  <c r="C34" i="13"/>
  <c r="C11" i="2"/>
  <c r="C34" i="2"/>
  <c r="C41" i="2"/>
  <c r="C40" i="2"/>
  <c r="C39" i="2"/>
  <c r="C37" i="2"/>
  <c r="C35" i="2"/>
  <c r="C32" i="2"/>
  <c r="C30" i="2"/>
  <c r="C24" i="2"/>
  <c r="C17" i="2"/>
  <c r="C29" i="2" l="1"/>
  <c r="G53" i="3" l="1"/>
  <c r="F57" i="3"/>
  <c r="C57" i="3"/>
  <c r="F56" i="3"/>
  <c r="C56" i="3"/>
  <c r="C49" i="3"/>
  <c r="J16" i="3"/>
  <c r="K19" i="3"/>
  <c r="J21" i="3"/>
  <c r="E22" i="3" l="1"/>
  <c r="D22" i="3"/>
  <c r="BU43" i="9" l="1"/>
  <c r="BR40" i="9"/>
  <c r="BR41" i="9"/>
  <c r="BR44" i="9"/>
  <c r="BR45" i="9"/>
  <c r="BR46" i="9"/>
  <c r="BR47" i="9"/>
  <c r="BR48" i="9"/>
  <c r="BR49" i="9"/>
  <c r="BR50" i="9"/>
  <c r="BR51" i="9"/>
  <c r="BR25" i="9"/>
  <c r="BR27" i="9"/>
  <c r="BR28" i="9"/>
  <c r="BR29" i="9"/>
  <c r="BR31" i="9"/>
  <c r="BR32" i="9"/>
  <c r="BR33" i="9"/>
  <c r="BR34" i="9"/>
  <c r="BR35" i="9"/>
  <c r="BR36" i="9"/>
  <c r="BR38" i="9"/>
  <c r="BK29" i="9"/>
  <c r="BK30" i="9"/>
  <c r="T97" i="4"/>
  <c r="T98" i="4"/>
  <c r="T100" i="4"/>
  <c r="T101" i="4"/>
  <c r="T102" i="4"/>
  <c r="T103" i="4"/>
  <c r="U13" i="4"/>
  <c r="U14" i="4"/>
  <c r="U16" i="4"/>
  <c r="U17" i="4"/>
  <c r="U18" i="4"/>
  <c r="U19" i="4"/>
  <c r="U20" i="4"/>
  <c r="U21" i="4"/>
  <c r="U22" i="4"/>
  <c r="U23" i="4"/>
  <c r="U24" i="4"/>
  <c r="U25" i="4"/>
  <c r="U26" i="4"/>
  <c r="U27" i="4"/>
  <c r="U28" i="4"/>
  <c r="U29" i="4"/>
  <c r="U30"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U76" i="4"/>
  <c r="U77" i="4"/>
  <c r="U78" i="4"/>
  <c r="U79" i="4"/>
  <c r="U80" i="4"/>
  <c r="U81" i="4"/>
  <c r="U82" i="4"/>
  <c r="U83" i="4"/>
  <c r="U84" i="4"/>
  <c r="U85" i="4"/>
  <c r="U86" i="4"/>
  <c r="U87" i="4"/>
  <c r="U88" i="4"/>
  <c r="U89" i="4"/>
  <c r="U90" i="4"/>
  <c r="U91" i="4"/>
  <c r="U92" i="4"/>
  <c r="U93" i="4"/>
  <c r="U94" i="4"/>
  <c r="U95" i="4"/>
  <c r="U96" i="4"/>
  <c r="U97" i="4"/>
  <c r="U98" i="4"/>
  <c r="U99" i="4"/>
  <c r="U100" i="4"/>
  <c r="U101" i="4"/>
  <c r="U102" i="4"/>
  <c r="U103" i="4"/>
  <c r="U104" i="4"/>
  <c r="U105" i="4"/>
  <c r="U106" i="4"/>
  <c r="U107" i="4"/>
  <c r="U108" i="4"/>
  <c r="X13" i="4"/>
  <c r="Y13" i="4"/>
  <c r="X15" i="4"/>
  <c r="Y15" i="4"/>
  <c r="Y16" i="4"/>
  <c r="X19" i="4"/>
  <c r="Y19" i="4"/>
  <c r="X20" i="4"/>
  <c r="Y20" i="4"/>
  <c r="X21" i="4"/>
  <c r="Y21" i="4"/>
  <c r="Y23" i="4"/>
  <c r="Y24" i="4"/>
  <c r="X26" i="4"/>
  <c r="Y26" i="4"/>
  <c r="Y27" i="4"/>
  <c r="X28" i="4"/>
  <c r="Y28" i="4"/>
  <c r="X29" i="4"/>
  <c r="Y29" i="4"/>
  <c r="X30" i="4"/>
  <c r="Y30" i="4"/>
  <c r="X38" i="4"/>
  <c r="Y38" i="4"/>
  <c r="X52" i="4"/>
  <c r="Y52" i="4"/>
  <c r="Y53" i="4"/>
  <c r="Y54" i="4"/>
  <c r="Y55" i="4"/>
  <c r="Y56" i="4"/>
  <c r="Y57" i="4"/>
  <c r="Y58" i="4"/>
  <c r="Y59" i="4"/>
  <c r="Y60" i="4"/>
  <c r="Y61" i="4"/>
  <c r="Y62" i="4"/>
  <c r="Y63" i="4"/>
  <c r="Y64" i="4"/>
  <c r="Y65" i="4"/>
  <c r="Y66" i="4"/>
  <c r="Y67" i="4"/>
  <c r="Y68" i="4"/>
  <c r="Y69" i="4"/>
  <c r="Y70" i="4"/>
  <c r="Y71" i="4"/>
  <c r="Y72" i="4"/>
  <c r="Y73" i="4"/>
  <c r="Y74" i="4"/>
  <c r="Y75" i="4"/>
  <c r="Y76" i="4"/>
  <c r="Y77" i="4"/>
  <c r="Y78" i="4"/>
  <c r="Y79" i="4"/>
  <c r="Y80" i="4"/>
  <c r="Y81" i="4"/>
  <c r="Y82" i="4"/>
  <c r="Y83" i="4"/>
  <c r="Y84" i="4"/>
  <c r="Y98" i="4"/>
  <c r="Y99" i="4"/>
  <c r="Y100" i="4"/>
  <c r="Y101" i="4"/>
  <c r="Y102" i="4"/>
  <c r="Y103" i="4"/>
  <c r="Y104" i="4"/>
  <c r="Y105" i="4"/>
  <c r="Y106" i="4"/>
  <c r="Y107" i="4"/>
  <c r="Y108" i="4"/>
  <c r="Y12" i="4"/>
  <c r="R110" i="4" l="1"/>
  <c r="Y110" i="4" s="1"/>
  <c r="R112" i="4"/>
  <c r="Y112" i="4" s="1"/>
  <c r="R18" i="4"/>
  <c r="Y18" i="4" s="1"/>
  <c r="R14" i="4"/>
  <c r="Y14" i="4" s="1"/>
  <c r="R97" i="4" l="1"/>
  <c r="Y97" i="4" s="1"/>
  <c r="E15" i="4" l="1"/>
  <c r="U15" i="4" s="1"/>
  <c r="D104" i="4"/>
  <c r="T104" i="4" s="1"/>
  <c r="D14" i="4"/>
  <c r="T14" i="4" s="1"/>
  <c r="H14" i="4"/>
  <c r="O44" i="4" l="1"/>
  <c r="K44" i="4"/>
  <c r="G44" i="4"/>
  <c r="C44" i="4" s="1"/>
  <c r="S44" i="4" s="1"/>
  <c r="M31" i="4"/>
  <c r="E31" i="4"/>
  <c r="U31" i="4" l="1"/>
  <c r="E11" i="4"/>
  <c r="J113" i="4"/>
  <c r="H16" i="7" l="1"/>
  <c r="H14" i="7"/>
  <c r="H13" i="7"/>
  <c r="L22" i="7" l="1"/>
  <c r="L15" i="7"/>
  <c r="L16" i="7"/>
  <c r="L17" i="7"/>
  <c r="L13" i="7"/>
  <c r="L18" i="7"/>
  <c r="L20" i="7"/>
  <c r="L21" i="7"/>
  <c r="L19" i="7"/>
  <c r="L23" i="7"/>
  <c r="K23" i="7"/>
  <c r="K22" i="7"/>
  <c r="K21" i="7"/>
  <c r="K20" i="7"/>
  <c r="K19" i="7"/>
  <c r="K18" i="7"/>
  <c r="K17" i="7"/>
  <c r="K16" i="7"/>
  <c r="K15" i="7"/>
  <c r="K14" i="7"/>
  <c r="K13" i="7"/>
  <c r="K12" i="7"/>
  <c r="F14" i="7"/>
  <c r="F13" i="7"/>
  <c r="F12" i="7"/>
  <c r="F23" i="7"/>
  <c r="F22" i="7"/>
  <c r="F21" i="7"/>
  <c r="F20" i="7"/>
  <c r="F19" i="7"/>
  <c r="F18" i="7"/>
  <c r="F17" i="7"/>
  <c r="F16" i="7"/>
  <c r="F15" i="7"/>
  <c r="I11" i="7"/>
  <c r="J11" i="7"/>
  <c r="E23" i="7"/>
  <c r="E22" i="7"/>
  <c r="E21" i="7"/>
  <c r="E20" i="7"/>
  <c r="E19" i="7"/>
  <c r="E18" i="7"/>
  <c r="E17" i="7"/>
  <c r="E16" i="7"/>
  <c r="E15" i="7"/>
  <c r="E14" i="7"/>
  <c r="E13" i="7"/>
  <c r="E12" i="7"/>
  <c r="Z23" i="8"/>
  <c r="Z13" i="8"/>
  <c r="Z14" i="8"/>
  <c r="Z15" i="8"/>
  <c r="Z16" i="8"/>
  <c r="Z17" i="8"/>
  <c r="Z18" i="8"/>
  <c r="Z19" i="8"/>
  <c r="Z20" i="8"/>
  <c r="Z21" i="8"/>
  <c r="Z22" i="8"/>
  <c r="Z12" i="8"/>
  <c r="Y40" i="9" l="1"/>
  <c r="BU40" i="9" s="1"/>
  <c r="G13" i="8" l="1"/>
  <c r="W13" i="8" s="1"/>
  <c r="G14" i="8"/>
  <c r="W14" i="8" s="1"/>
  <c r="G15" i="8"/>
  <c r="W15" i="8" s="1"/>
  <c r="G16" i="8"/>
  <c r="W16" i="8" s="1"/>
  <c r="G17" i="8"/>
  <c r="W17" i="8" s="1"/>
  <c r="G18" i="8"/>
  <c r="W18" i="8" s="1"/>
  <c r="G19" i="8"/>
  <c r="W19" i="8" s="1"/>
  <c r="G20" i="8"/>
  <c r="W20" i="8" s="1"/>
  <c r="G21" i="8"/>
  <c r="W21" i="8" s="1"/>
  <c r="G22" i="8"/>
  <c r="W22" i="8" s="1"/>
  <c r="G23" i="8"/>
  <c r="G12" i="8"/>
  <c r="F11" i="8"/>
  <c r="G11" i="8" l="1"/>
  <c r="Y51" i="9"/>
  <c r="BU51" i="9" s="1"/>
  <c r="Y50" i="9"/>
  <c r="BU50" i="9" s="1"/>
  <c r="Y49" i="9"/>
  <c r="BU49" i="9" s="1"/>
  <c r="Y48" i="9"/>
  <c r="BU48" i="9" s="1"/>
  <c r="Y46" i="9"/>
  <c r="BU46" i="9" s="1"/>
  <c r="Y47" i="9"/>
  <c r="BU47" i="9" s="1"/>
  <c r="Y45" i="9"/>
  <c r="BU45" i="9" s="1"/>
  <c r="Y44" i="9"/>
  <c r="BU44" i="9" s="1"/>
  <c r="Y22" i="9"/>
  <c r="BU22" i="9" s="1"/>
  <c r="Y25" i="9"/>
  <c r="BU25" i="9" s="1"/>
  <c r="Y42" i="9"/>
  <c r="BU42" i="9" s="1"/>
  <c r="Y41" i="9"/>
  <c r="BU41" i="9" s="1"/>
  <c r="Y20" i="9"/>
  <c r="BU20" i="9" s="1"/>
  <c r="Y19" i="9"/>
  <c r="BU19" i="9" s="1"/>
  <c r="Y21" i="9"/>
  <c r="BU21" i="9" s="1"/>
  <c r="Y18" i="9"/>
  <c r="BU18" i="9" s="1"/>
  <c r="Y17" i="9"/>
  <c r="BU17" i="9" s="1"/>
  <c r="Y16" i="9"/>
  <c r="AT14" i="9" l="1"/>
  <c r="V15" i="9" l="1"/>
  <c r="V37" i="9"/>
  <c r="BR37" i="9" s="1"/>
  <c r="V16" i="9"/>
  <c r="K51" i="9" l="1"/>
  <c r="BG51" i="9" s="1"/>
  <c r="K50" i="9"/>
  <c r="BG50" i="9" s="1"/>
  <c r="K49" i="9"/>
  <c r="BG49" i="9" s="1"/>
  <c r="K48" i="9"/>
  <c r="BG48" i="9" s="1"/>
  <c r="K46" i="9"/>
  <c r="BG46" i="9" s="1"/>
  <c r="K47" i="9"/>
  <c r="BG47" i="9" s="1"/>
  <c r="K45" i="9"/>
  <c r="BG45" i="9" s="1"/>
  <c r="K44" i="9"/>
  <c r="BG44" i="9" s="1"/>
  <c r="K43" i="9"/>
  <c r="BG43" i="9" s="1"/>
  <c r="K42" i="9"/>
  <c r="BG42" i="9" s="1"/>
  <c r="K41" i="9"/>
  <c r="BG41" i="9" s="1"/>
  <c r="K40" i="9"/>
  <c r="BG40" i="9" s="1"/>
  <c r="K26" i="9"/>
  <c r="BG26" i="9" s="1"/>
  <c r="K25" i="9"/>
  <c r="BG25" i="9" s="1"/>
  <c r="K21" i="9"/>
  <c r="BG21" i="9" s="1"/>
  <c r="K18" i="9"/>
  <c r="BG18" i="9" s="1"/>
  <c r="K17" i="9"/>
  <c r="AV25" i="9"/>
  <c r="AS25" i="9"/>
  <c r="BQ25" i="9" s="1"/>
  <c r="AO25" i="9"/>
  <c r="AL25" i="9"/>
  <c r="AH25" i="9"/>
  <c r="BF25" i="9" s="1"/>
  <c r="AE25" i="9"/>
  <c r="AB25" i="9" s="1"/>
  <c r="AZ25" i="9" s="1"/>
  <c r="X25" i="9"/>
  <c r="U25" i="9"/>
  <c r="Q25" i="9"/>
  <c r="N25" i="9"/>
  <c r="J25" i="9"/>
  <c r="G25" i="9"/>
  <c r="D25" i="9" s="1"/>
  <c r="BT25" i="9" l="1"/>
  <c r="M25" i="9"/>
  <c r="F25" i="9"/>
  <c r="AD25" i="9"/>
  <c r="AK25" i="9"/>
  <c r="AR25" i="9"/>
  <c r="E25" i="9"/>
  <c r="T25" i="9"/>
  <c r="AC25" i="9"/>
  <c r="BB25" i="9"/>
  <c r="C25" i="9"/>
  <c r="BP25" i="9" l="1"/>
  <c r="AA25" i="9"/>
  <c r="AY25" i="9" s="1"/>
  <c r="BA25" i="9"/>
  <c r="R48" i="9"/>
  <c r="BN48" i="9" s="1"/>
  <c r="R51" i="9"/>
  <c r="BN51" i="9" s="1"/>
  <c r="R50" i="9"/>
  <c r="BN50" i="9" s="1"/>
  <c r="R49" i="9"/>
  <c r="BN49" i="9" s="1"/>
  <c r="R46" i="9"/>
  <c r="BN46" i="9" s="1"/>
  <c r="R47" i="9"/>
  <c r="BN47" i="9" s="1"/>
  <c r="R45" i="9"/>
  <c r="BN45" i="9" s="1"/>
  <c r="R41" i="9"/>
  <c r="BN41" i="9" s="1"/>
  <c r="R44" i="9"/>
  <c r="BN44" i="9" s="1"/>
  <c r="R43" i="9"/>
  <c r="BN43" i="9" s="1"/>
  <c r="R42" i="9"/>
  <c r="BN42" i="9" s="1"/>
  <c r="R17" i="9"/>
  <c r="R24" i="9"/>
  <c r="BN24" i="9" s="1"/>
  <c r="R23" i="9"/>
  <c r="R22" i="9"/>
  <c r="BN22" i="9" s="1"/>
  <c r="AV23" i="9"/>
  <c r="AS23" i="9"/>
  <c r="AO23" i="9"/>
  <c r="AL23" i="9"/>
  <c r="AH23" i="9"/>
  <c r="AE23" i="9"/>
  <c r="X23" i="9"/>
  <c r="U23" i="9"/>
  <c r="N23" i="9"/>
  <c r="J23" i="9"/>
  <c r="G23" i="9"/>
  <c r="F23" i="9" s="1"/>
  <c r="AV22" i="9"/>
  <c r="AS22" i="9"/>
  <c r="AO22" i="9"/>
  <c r="AL22" i="9"/>
  <c r="AH22" i="9"/>
  <c r="AE22" i="9"/>
  <c r="AD22" i="9" s="1"/>
  <c r="X22" i="9"/>
  <c r="U22" i="9"/>
  <c r="N22" i="9"/>
  <c r="J22" i="9"/>
  <c r="G22" i="9"/>
  <c r="AV21" i="9"/>
  <c r="AS21" i="9"/>
  <c r="AO21" i="9"/>
  <c r="AL21" i="9"/>
  <c r="AH21" i="9"/>
  <c r="BF21" i="9" s="1"/>
  <c r="AE21" i="9"/>
  <c r="X21" i="9"/>
  <c r="U21" i="9"/>
  <c r="Q21" i="9"/>
  <c r="N21" i="9"/>
  <c r="J21" i="9"/>
  <c r="G21" i="9"/>
  <c r="BT21" i="9" l="1"/>
  <c r="BT22" i="9"/>
  <c r="Q22" i="9"/>
  <c r="M22" i="9" s="1"/>
  <c r="Q23" i="9"/>
  <c r="BM23" i="9" s="1"/>
  <c r="BN23" i="9"/>
  <c r="AR22" i="9"/>
  <c r="BP22" i="9" s="1"/>
  <c r="T23" i="9"/>
  <c r="M21" i="9"/>
  <c r="AD21" i="9"/>
  <c r="F22" i="9"/>
  <c r="E21" i="9"/>
  <c r="AD23" i="9"/>
  <c r="AK23" i="9"/>
  <c r="E22" i="9"/>
  <c r="T21" i="9"/>
  <c r="D23" i="9"/>
  <c r="AB23" i="9"/>
  <c r="AR23" i="9"/>
  <c r="AK22" i="9"/>
  <c r="AC23" i="9"/>
  <c r="T22" i="9"/>
  <c r="D22" i="9"/>
  <c r="AB22" i="9"/>
  <c r="F21" i="9"/>
  <c r="AK21" i="9"/>
  <c r="AC22" i="9"/>
  <c r="D21" i="9"/>
  <c r="AB21" i="9"/>
  <c r="AR21" i="9"/>
  <c r="BP21" i="9" s="1"/>
  <c r="AC21" i="9"/>
  <c r="BA21" i="9" s="1"/>
  <c r="BM22" i="9" l="1"/>
  <c r="BA22" i="9"/>
  <c r="E23" i="9"/>
  <c r="M23" i="9"/>
  <c r="BA23" i="9"/>
  <c r="C22" i="9"/>
  <c r="C21" i="9"/>
  <c r="BB21" i="9"/>
  <c r="C23" i="9"/>
  <c r="AA22" i="9"/>
  <c r="AY22" i="9" s="1"/>
  <c r="AA23" i="9"/>
  <c r="AY23" i="9" s="1"/>
  <c r="AA21" i="9"/>
  <c r="AY21" i="9" s="1"/>
  <c r="AS19" i="9" l="1"/>
  <c r="AS20" i="9"/>
  <c r="AO19" i="9"/>
  <c r="AO20" i="9"/>
  <c r="AL19" i="9"/>
  <c r="AL20" i="9"/>
  <c r="AH19" i="9"/>
  <c r="AH20" i="9"/>
  <c r="AE19" i="9"/>
  <c r="AE20" i="9"/>
  <c r="G19" i="9"/>
  <c r="G20" i="9"/>
  <c r="J19" i="9"/>
  <c r="J20" i="9"/>
  <c r="N19" i="9"/>
  <c r="N20" i="9"/>
  <c r="Q19" i="9"/>
  <c r="Q20" i="9"/>
  <c r="C38" i="3"/>
  <c r="C37" i="3"/>
  <c r="C32" i="3"/>
  <c r="C31" i="3"/>
  <c r="C35" i="3"/>
  <c r="C34" i="3"/>
  <c r="AK20" i="9" l="1"/>
  <c r="AD20" i="9"/>
  <c r="AD19" i="9"/>
  <c r="M20" i="9"/>
  <c r="M19" i="9"/>
  <c r="F19" i="9"/>
  <c r="AK19" i="9"/>
  <c r="F20" i="9"/>
  <c r="E15" i="8"/>
  <c r="D19" i="3" l="1"/>
  <c r="J19" i="3" s="1"/>
  <c r="H39" i="12" l="1"/>
  <c r="G39" i="12"/>
  <c r="G34" i="12"/>
  <c r="E35" i="12"/>
  <c r="E33" i="12" s="1"/>
  <c r="C33" i="12"/>
  <c r="D35" i="12"/>
  <c r="D33" i="12" s="1"/>
  <c r="G35" i="12" l="1"/>
  <c r="G47" i="12" l="1"/>
  <c r="G46" i="12"/>
  <c r="F47" i="12"/>
  <c r="F37" i="12"/>
  <c r="F38" i="12"/>
  <c r="J37" i="12"/>
  <c r="I37" i="12"/>
  <c r="J36" i="12"/>
  <c r="I36" i="12"/>
  <c r="F36" i="12"/>
  <c r="F35" i="12" s="1"/>
  <c r="F30" i="12"/>
  <c r="F28" i="12" s="1"/>
  <c r="E30" i="12"/>
  <c r="E28" i="12" s="1"/>
  <c r="D17" i="12"/>
  <c r="D16" i="12"/>
  <c r="D25" i="12"/>
  <c r="H35" i="12" l="1"/>
  <c r="F33" i="12"/>
  <c r="T20" i="7" l="1"/>
  <c r="BN17" i="9" l="1"/>
  <c r="BR15" i="9"/>
  <c r="BR16" i="9"/>
  <c r="BU16" i="9"/>
  <c r="BK28" i="9"/>
  <c r="BG17" i="9"/>
  <c r="AB19" i="9"/>
  <c r="AB20" i="9"/>
  <c r="L39" i="3"/>
  <c r="AV19" i="9"/>
  <c r="AV20" i="9"/>
  <c r="X20" i="9"/>
  <c r="T20" i="9" s="1"/>
  <c r="D20" i="9"/>
  <c r="D19" i="9"/>
  <c r="X19" i="9"/>
  <c r="E19" i="9" s="1"/>
  <c r="AV18" i="9"/>
  <c r="AS18" i="9"/>
  <c r="AO18" i="9"/>
  <c r="AL18" i="9"/>
  <c r="AH18" i="9"/>
  <c r="BF18" i="9" s="1"/>
  <c r="AE18" i="9"/>
  <c r="X18" i="9"/>
  <c r="U18" i="9"/>
  <c r="Q18" i="9"/>
  <c r="N18" i="9"/>
  <c r="J18" i="9"/>
  <c r="G18" i="9"/>
  <c r="AV24" i="9"/>
  <c r="AS24" i="9"/>
  <c r="AO24" i="9"/>
  <c r="AL24" i="9"/>
  <c r="AH24" i="9"/>
  <c r="AE24" i="9"/>
  <c r="X24" i="9"/>
  <c r="U24" i="9"/>
  <c r="Q24" i="9"/>
  <c r="N24" i="9"/>
  <c r="J24" i="9"/>
  <c r="G24" i="9"/>
  <c r="AV51" i="9"/>
  <c r="AS51" i="9"/>
  <c r="AO51" i="9"/>
  <c r="AL51" i="9"/>
  <c r="AH51" i="9"/>
  <c r="BF51" i="9" s="1"/>
  <c r="AE51" i="9"/>
  <c r="AB51" i="9" s="1"/>
  <c r="X51" i="9"/>
  <c r="U51" i="9"/>
  <c r="Q51" i="9"/>
  <c r="N51" i="9"/>
  <c r="J51" i="9"/>
  <c r="G51" i="9"/>
  <c r="AV50" i="9"/>
  <c r="AS50" i="9"/>
  <c r="AO50" i="9"/>
  <c r="AL50" i="9"/>
  <c r="AH50" i="9"/>
  <c r="BF50" i="9" s="1"/>
  <c r="AE50" i="9"/>
  <c r="AB50" i="9" s="1"/>
  <c r="X50" i="9"/>
  <c r="U50" i="9"/>
  <c r="Q50" i="9"/>
  <c r="N50" i="9"/>
  <c r="J50" i="9"/>
  <c r="G50" i="9"/>
  <c r="AV49" i="9"/>
  <c r="AS49" i="9"/>
  <c r="AO49" i="9"/>
  <c r="AL49" i="9"/>
  <c r="AH49" i="9"/>
  <c r="BF49" i="9" s="1"/>
  <c r="AE49" i="9"/>
  <c r="AB49" i="9" s="1"/>
  <c r="X49" i="9"/>
  <c r="U49" i="9"/>
  <c r="Q49" i="9"/>
  <c r="N49" i="9"/>
  <c r="J49" i="9"/>
  <c r="G49" i="9"/>
  <c r="AV48" i="9"/>
  <c r="AS48" i="9"/>
  <c r="AO48" i="9"/>
  <c r="AL48" i="9"/>
  <c r="AH48" i="9"/>
  <c r="BF48" i="9" s="1"/>
  <c r="AE48" i="9"/>
  <c r="AB48" i="9" s="1"/>
  <c r="X48" i="9"/>
  <c r="U48" i="9"/>
  <c r="Q48" i="9"/>
  <c r="N48" i="9"/>
  <c r="J48" i="9"/>
  <c r="G48" i="9"/>
  <c r="AV47" i="9"/>
  <c r="AS47" i="9"/>
  <c r="AO47" i="9"/>
  <c r="AL47" i="9"/>
  <c r="AH47" i="9"/>
  <c r="BF47" i="9" s="1"/>
  <c r="AE47" i="9"/>
  <c r="AB47" i="9" s="1"/>
  <c r="X47" i="9"/>
  <c r="U47" i="9"/>
  <c r="Q47" i="9"/>
  <c r="N47" i="9"/>
  <c r="J47" i="9"/>
  <c r="G47" i="9"/>
  <c r="AV46" i="9"/>
  <c r="AS46" i="9"/>
  <c r="AO46" i="9"/>
  <c r="AL46" i="9"/>
  <c r="AH46" i="9"/>
  <c r="BF46" i="9" s="1"/>
  <c r="AE46" i="9"/>
  <c r="AB46" i="9" s="1"/>
  <c r="X46" i="9"/>
  <c r="U46" i="9"/>
  <c r="Q46" i="9"/>
  <c r="N46" i="9"/>
  <c r="J46" i="9"/>
  <c r="G46" i="9"/>
  <c r="AV45" i="9"/>
  <c r="AS45" i="9"/>
  <c r="AO45" i="9"/>
  <c r="AL45" i="9"/>
  <c r="AH45" i="9"/>
  <c r="AE45" i="9"/>
  <c r="X45" i="9"/>
  <c r="U45" i="9"/>
  <c r="Q45" i="9"/>
  <c r="N45" i="9"/>
  <c r="J45" i="9"/>
  <c r="G45" i="9"/>
  <c r="AV44" i="9"/>
  <c r="AS44" i="9"/>
  <c r="AO44" i="9"/>
  <c r="AL44" i="9"/>
  <c r="AH44" i="9"/>
  <c r="BF44" i="9" s="1"/>
  <c r="AE44" i="9"/>
  <c r="AB44" i="9" s="1"/>
  <c r="X44" i="9"/>
  <c r="U44" i="9"/>
  <c r="Q44" i="9"/>
  <c r="N44" i="9"/>
  <c r="J44" i="9"/>
  <c r="G44" i="9"/>
  <c r="AV43" i="9"/>
  <c r="AS43" i="9"/>
  <c r="AO43" i="9"/>
  <c r="AL43" i="9"/>
  <c r="AH43" i="9"/>
  <c r="AE43" i="9"/>
  <c r="AB43" i="9" s="1"/>
  <c r="X43" i="9"/>
  <c r="U43" i="9"/>
  <c r="Q43" i="9"/>
  <c r="N43" i="9"/>
  <c r="J43" i="9"/>
  <c r="G43" i="9"/>
  <c r="AV42" i="9"/>
  <c r="AS42" i="9"/>
  <c r="AO42" i="9"/>
  <c r="AL42" i="9"/>
  <c r="AH42" i="9"/>
  <c r="AE42" i="9"/>
  <c r="AB42" i="9" s="1"/>
  <c r="X42" i="9"/>
  <c r="U42" i="9"/>
  <c r="Q42" i="9"/>
  <c r="N42" i="9"/>
  <c r="J42" i="9"/>
  <c r="G42" i="9"/>
  <c r="AV41" i="9"/>
  <c r="AS41" i="9"/>
  <c r="AO41" i="9"/>
  <c r="AL41" i="9"/>
  <c r="AH41" i="9"/>
  <c r="AE41" i="9"/>
  <c r="X41" i="9"/>
  <c r="U41" i="9"/>
  <c r="Q41" i="9"/>
  <c r="N41" i="9"/>
  <c r="J41" i="9"/>
  <c r="G41" i="9"/>
  <c r="AV40" i="9"/>
  <c r="AS40" i="9"/>
  <c r="AO40" i="9"/>
  <c r="AL40" i="9"/>
  <c r="AH40" i="9"/>
  <c r="AE40" i="9"/>
  <c r="AB40" i="9" s="1"/>
  <c r="X40" i="9"/>
  <c r="U40" i="9"/>
  <c r="Q40" i="9"/>
  <c r="N40" i="9"/>
  <c r="J40" i="9"/>
  <c r="G40" i="9"/>
  <c r="AV17" i="9"/>
  <c r="AS17" i="9"/>
  <c r="AO17" i="9"/>
  <c r="AL17" i="9"/>
  <c r="AH17" i="9"/>
  <c r="AE17" i="9"/>
  <c r="X17" i="9"/>
  <c r="U17" i="9"/>
  <c r="Q17" i="9"/>
  <c r="N17" i="9"/>
  <c r="J17" i="9"/>
  <c r="G17" i="9"/>
  <c r="AR20" i="9" l="1"/>
  <c r="BP20" i="9" s="1"/>
  <c r="BT20" i="9"/>
  <c r="AC19" i="9"/>
  <c r="BA19" i="9" s="1"/>
  <c r="BT19" i="9"/>
  <c r="AZ51" i="9"/>
  <c r="BF40" i="9"/>
  <c r="BF41" i="9"/>
  <c r="BF42" i="9"/>
  <c r="BF43" i="9"/>
  <c r="BF45" i="9"/>
  <c r="BM41" i="9"/>
  <c r="BM42" i="9"/>
  <c r="BM43" i="9"/>
  <c r="BM44" i="9"/>
  <c r="BM45" i="9"/>
  <c r="BM46" i="9"/>
  <c r="BM47" i="9"/>
  <c r="BM48" i="9"/>
  <c r="AC49" i="9"/>
  <c r="BM49" i="9"/>
  <c r="BM50" i="9"/>
  <c r="BM51" i="9"/>
  <c r="BM24" i="9"/>
  <c r="BQ40" i="9"/>
  <c r="BQ41" i="9"/>
  <c r="BQ44" i="9"/>
  <c r="BQ45" i="9"/>
  <c r="BQ46" i="9"/>
  <c r="BQ47" i="9"/>
  <c r="BQ48" i="9"/>
  <c r="BQ49" i="9"/>
  <c r="BQ50" i="9"/>
  <c r="BQ51" i="9"/>
  <c r="BT17" i="9"/>
  <c r="BT40" i="9"/>
  <c r="BT41" i="9"/>
  <c r="BT42" i="9"/>
  <c r="BT43" i="9"/>
  <c r="BT44" i="9"/>
  <c r="BT45" i="9"/>
  <c r="BT46" i="9"/>
  <c r="BT47" i="9"/>
  <c r="BT48" i="9"/>
  <c r="BT49" i="9"/>
  <c r="BT50" i="9"/>
  <c r="BT51" i="9"/>
  <c r="BT18" i="9"/>
  <c r="AB17" i="9"/>
  <c r="AR18" i="9"/>
  <c r="AC44" i="9"/>
  <c r="AB41" i="9"/>
  <c r="AZ41" i="9" s="1"/>
  <c r="AB45" i="9"/>
  <c r="AB39" i="9"/>
  <c r="AB24" i="9"/>
  <c r="AB18" i="9"/>
  <c r="AC40" i="9"/>
  <c r="AC48" i="9"/>
  <c r="AC18" i="9"/>
  <c r="AK24" i="9"/>
  <c r="AK18" i="9"/>
  <c r="AD18" i="9"/>
  <c r="AR19" i="9"/>
  <c r="BP19" i="9" s="1"/>
  <c r="AR17" i="9"/>
  <c r="BP17" i="9" s="1"/>
  <c r="AC43" i="9"/>
  <c r="AC50" i="9"/>
  <c r="AC42" i="9"/>
  <c r="AC41" i="9"/>
  <c r="AC20" i="9"/>
  <c r="AC46" i="9"/>
  <c r="AC45" i="9"/>
  <c r="AK45" i="9"/>
  <c r="AK46" i="9"/>
  <c r="AK48" i="9"/>
  <c r="AK49" i="9"/>
  <c r="AK50" i="9"/>
  <c r="AC51" i="9"/>
  <c r="AC47" i="9"/>
  <c r="BM17" i="9"/>
  <c r="AC24" i="9"/>
  <c r="BF17" i="9"/>
  <c r="AC17" i="9"/>
  <c r="T18" i="9"/>
  <c r="T19" i="9"/>
  <c r="E20" i="9"/>
  <c r="F24" i="9"/>
  <c r="F18" i="9"/>
  <c r="AK17" i="9"/>
  <c r="T49" i="9"/>
  <c r="T40" i="9"/>
  <c r="T41" i="9"/>
  <c r="T45" i="9"/>
  <c r="T46" i="9"/>
  <c r="T47" i="9"/>
  <c r="T48" i="9"/>
  <c r="T42" i="9"/>
  <c r="T44" i="9"/>
  <c r="T51" i="9"/>
  <c r="T50" i="9"/>
  <c r="T43" i="9"/>
  <c r="T17" i="9"/>
  <c r="T24" i="9"/>
  <c r="AA19" i="9"/>
  <c r="AD40" i="9"/>
  <c r="AR40" i="9"/>
  <c r="AD41" i="9"/>
  <c r="AR41" i="9"/>
  <c r="BP41" i="9" s="1"/>
  <c r="AD42" i="9"/>
  <c r="AR42" i="9"/>
  <c r="BP42" i="9" s="1"/>
  <c r="AR43" i="9"/>
  <c r="AD44" i="9"/>
  <c r="AR44" i="9"/>
  <c r="BP44" i="9" s="1"/>
  <c r="AD45" i="9"/>
  <c r="AR45" i="9"/>
  <c r="BP45" i="9" s="1"/>
  <c r="AD46" i="9"/>
  <c r="AR46" i="9"/>
  <c r="BP46" i="9" s="1"/>
  <c r="AD47" i="9"/>
  <c r="AR47" i="9"/>
  <c r="BP47" i="9" s="1"/>
  <c r="AD48" i="9"/>
  <c r="AR48" i="9"/>
  <c r="AD49" i="9"/>
  <c r="AD50" i="9"/>
  <c r="AR50" i="9"/>
  <c r="BP50" i="9" s="1"/>
  <c r="AD51" i="9"/>
  <c r="AR51" i="9"/>
  <c r="BP51" i="9" s="1"/>
  <c r="AR24" i="9"/>
  <c r="C19" i="9"/>
  <c r="M18" i="9"/>
  <c r="AD43" i="9"/>
  <c r="AD24" i="9"/>
  <c r="AD17" i="9"/>
  <c r="F51" i="9"/>
  <c r="F50" i="9"/>
  <c r="E49" i="9"/>
  <c r="F49" i="9"/>
  <c r="F48" i="9"/>
  <c r="F46" i="9"/>
  <c r="E47" i="9"/>
  <c r="F47" i="9"/>
  <c r="F45" i="9"/>
  <c r="F41" i="9"/>
  <c r="F44" i="9"/>
  <c r="F43" i="9"/>
  <c r="F42" i="9"/>
  <c r="F40" i="9"/>
  <c r="D18" i="9"/>
  <c r="E18" i="9"/>
  <c r="M24" i="9"/>
  <c r="D24" i="9"/>
  <c r="E24" i="9"/>
  <c r="E48" i="9"/>
  <c r="F17" i="9"/>
  <c r="AK51" i="9"/>
  <c r="M51" i="9"/>
  <c r="M50" i="9"/>
  <c r="M49" i="9"/>
  <c r="M48" i="9"/>
  <c r="BI48" i="9" s="1"/>
  <c r="M46" i="9"/>
  <c r="AK47" i="9"/>
  <c r="M47" i="9"/>
  <c r="M45" i="9"/>
  <c r="AK44" i="9"/>
  <c r="M44" i="9"/>
  <c r="AK43" i="9"/>
  <c r="AR49" i="9"/>
  <c r="E44" i="9"/>
  <c r="E50" i="9"/>
  <c r="AK40" i="9"/>
  <c r="AK41" i="9"/>
  <c r="AK42" i="9"/>
  <c r="M40" i="9"/>
  <c r="M41" i="9"/>
  <c r="M42" i="9"/>
  <c r="M43" i="9"/>
  <c r="E45" i="9"/>
  <c r="E46" i="9"/>
  <c r="E51" i="9"/>
  <c r="D40" i="9"/>
  <c r="AZ40" i="9" s="1"/>
  <c r="D41" i="9"/>
  <c r="D42" i="9"/>
  <c r="D43" i="9"/>
  <c r="D44" i="9"/>
  <c r="AZ44" i="9" s="1"/>
  <c r="D45" i="9"/>
  <c r="D46" i="9"/>
  <c r="AZ46" i="9" s="1"/>
  <c r="D47" i="9"/>
  <c r="AZ47" i="9" s="1"/>
  <c r="D48" i="9"/>
  <c r="AZ48" i="9" s="1"/>
  <c r="D49" i="9"/>
  <c r="AZ49" i="9" s="1"/>
  <c r="D50" i="9"/>
  <c r="AZ50" i="9" s="1"/>
  <c r="D51" i="9"/>
  <c r="E40" i="9"/>
  <c r="E41" i="9"/>
  <c r="E42" i="9"/>
  <c r="E43" i="9"/>
  <c r="M17" i="9"/>
  <c r="D17" i="9"/>
  <c r="E17" i="9"/>
  <c r="AA51" i="9" l="1"/>
  <c r="BA51" i="9"/>
  <c r="BA43" i="9"/>
  <c r="AZ45" i="9"/>
  <c r="AA50" i="9"/>
  <c r="BA50" i="9"/>
  <c r="BA44" i="9"/>
  <c r="BP43" i="9"/>
  <c r="BP18" i="9"/>
  <c r="BA47" i="9"/>
  <c r="BP48" i="9"/>
  <c r="BA45" i="9"/>
  <c r="BA18" i="9"/>
  <c r="BA17" i="9"/>
  <c r="AA46" i="9"/>
  <c r="BA46" i="9"/>
  <c r="AA48" i="9"/>
  <c r="BA48" i="9"/>
  <c r="BP49" i="9"/>
  <c r="BP40" i="9"/>
  <c r="AA20" i="9"/>
  <c r="AY20" i="9" s="1"/>
  <c r="BA20" i="9"/>
  <c r="BA40" i="9"/>
  <c r="BA24" i="9"/>
  <c r="BA41" i="9"/>
  <c r="BA49" i="9"/>
  <c r="AY19" i="9"/>
  <c r="BA42" i="9"/>
  <c r="AA18" i="9"/>
  <c r="BB45" i="9"/>
  <c r="BB44" i="9"/>
  <c r="BB41" i="9"/>
  <c r="BB50" i="9"/>
  <c r="BB18" i="9"/>
  <c r="BB40" i="9"/>
  <c r="BI46" i="9"/>
  <c r="BB17" i="9"/>
  <c r="BB42" i="9"/>
  <c r="BB51" i="9"/>
  <c r="C44" i="9"/>
  <c r="BI45" i="9"/>
  <c r="BB48" i="9"/>
  <c r="BI50" i="9"/>
  <c r="BI43" i="9"/>
  <c r="BI51" i="9"/>
  <c r="AC39" i="9"/>
  <c r="BI44" i="9"/>
  <c r="BB47" i="9"/>
  <c r="BB49" i="9"/>
  <c r="AA24" i="9"/>
  <c r="AY24" i="9" s="1"/>
  <c r="BI42" i="9"/>
  <c r="BI41" i="9"/>
  <c r="BI47" i="9"/>
  <c r="BI49" i="9"/>
  <c r="AA47" i="9"/>
  <c r="AY47" i="9" s="1"/>
  <c r="BI17" i="9"/>
  <c r="BB46" i="9"/>
  <c r="BB43" i="9"/>
  <c r="C48" i="9"/>
  <c r="C20" i="9"/>
  <c r="C49" i="9"/>
  <c r="C47" i="9"/>
  <c r="AA40" i="9"/>
  <c r="AD39" i="9"/>
  <c r="AA17" i="9"/>
  <c r="C50" i="9"/>
  <c r="C45" i="9"/>
  <c r="C18" i="9"/>
  <c r="AA42" i="9"/>
  <c r="AY42" i="9" s="1"/>
  <c r="AA45" i="9"/>
  <c r="AY45" i="9" s="1"/>
  <c r="AA43" i="9"/>
  <c r="AY43" i="9" s="1"/>
  <c r="C24" i="9"/>
  <c r="AA44" i="9"/>
  <c r="C51" i="9"/>
  <c r="AA49" i="9"/>
  <c r="AY49" i="9" s="1"/>
  <c r="AA41" i="9"/>
  <c r="C46" i="9"/>
  <c r="C42" i="9"/>
  <c r="C41" i="9"/>
  <c r="C40" i="9"/>
  <c r="C43" i="9"/>
  <c r="C17" i="9"/>
  <c r="AY18" i="9" l="1"/>
  <c r="AY50" i="9"/>
  <c r="AY17" i="9"/>
  <c r="AY40" i="9"/>
  <c r="AY46" i="9"/>
  <c r="AY44" i="9"/>
  <c r="AY41" i="9"/>
  <c r="AY48" i="9"/>
  <c r="AY51" i="9"/>
  <c r="C39" i="9"/>
  <c r="X15" i="9" l="1"/>
  <c r="U15" i="9"/>
  <c r="Q15" i="9"/>
  <c r="N15" i="9"/>
  <c r="AV36" i="9"/>
  <c r="AS36" i="9"/>
  <c r="AO36" i="9"/>
  <c r="AL36" i="9"/>
  <c r="AH36" i="9"/>
  <c r="AE36" i="9"/>
  <c r="X36" i="9"/>
  <c r="U36" i="9"/>
  <c r="Q36" i="9"/>
  <c r="N36" i="9"/>
  <c r="J36" i="9"/>
  <c r="G36" i="9"/>
  <c r="AV35" i="9"/>
  <c r="AS35" i="9"/>
  <c r="AO35" i="9"/>
  <c r="AL35" i="9"/>
  <c r="AH35" i="9"/>
  <c r="AE35" i="9"/>
  <c r="AD35" i="9" s="1"/>
  <c r="X35" i="9"/>
  <c r="U35" i="9"/>
  <c r="Q35" i="9"/>
  <c r="N35" i="9"/>
  <c r="J35" i="9"/>
  <c r="G35" i="9"/>
  <c r="AV34" i="9"/>
  <c r="AS34" i="9"/>
  <c r="AO34" i="9"/>
  <c r="AL34" i="9"/>
  <c r="AH34" i="9"/>
  <c r="AE34" i="9"/>
  <c r="X34" i="9"/>
  <c r="U34" i="9"/>
  <c r="Q34" i="9"/>
  <c r="N34" i="9"/>
  <c r="J34" i="9"/>
  <c r="G34" i="9"/>
  <c r="AV26" i="9"/>
  <c r="AS26" i="9"/>
  <c r="AR26" i="9" s="1"/>
  <c r="AO26" i="9"/>
  <c r="AL26" i="9"/>
  <c r="AH26" i="9"/>
  <c r="AE26" i="9"/>
  <c r="X26" i="9"/>
  <c r="U26" i="9"/>
  <c r="Q26" i="9"/>
  <c r="N26" i="9"/>
  <c r="J26" i="9"/>
  <c r="G26" i="9"/>
  <c r="BQ34" i="9" l="1"/>
  <c r="BQ35" i="9"/>
  <c r="BQ36" i="9"/>
  <c r="BF26" i="9"/>
  <c r="E36" i="9"/>
  <c r="AB34" i="9"/>
  <c r="AB35" i="9"/>
  <c r="AC26" i="9"/>
  <c r="BA26" i="9" s="1"/>
  <c r="AB26" i="9"/>
  <c r="AC34" i="9"/>
  <c r="AC35" i="9"/>
  <c r="AC36" i="9"/>
  <c r="AB36" i="9"/>
  <c r="T15" i="9"/>
  <c r="AD26" i="9"/>
  <c r="AK34" i="9"/>
  <c r="AK35" i="9"/>
  <c r="AK36" i="9"/>
  <c r="M15" i="9"/>
  <c r="AD34" i="9"/>
  <c r="E34" i="9"/>
  <c r="M34" i="9"/>
  <c r="AR35" i="9"/>
  <c r="BP35" i="9" s="1"/>
  <c r="M36" i="9"/>
  <c r="AD36" i="9"/>
  <c r="AR36" i="9"/>
  <c r="M26" i="9"/>
  <c r="T26" i="9"/>
  <c r="AR34" i="9"/>
  <c r="F36" i="9"/>
  <c r="T36" i="9"/>
  <c r="D34" i="9"/>
  <c r="M35" i="9"/>
  <c r="D35" i="9"/>
  <c r="F34" i="9"/>
  <c r="T35" i="9"/>
  <c r="E35" i="9"/>
  <c r="D36" i="9"/>
  <c r="F26" i="9"/>
  <c r="BB26" i="9" s="1"/>
  <c r="T34" i="9"/>
  <c r="F35" i="9"/>
  <c r="E26" i="9"/>
  <c r="AK26" i="9"/>
  <c r="D26" i="9"/>
  <c r="AZ35" i="9" l="1"/>
  <c r="BP34" i="9"/>
  <c r="AZ34" i="9"/>
  <c r="BP36" i="9"/>
  <c r="AZ36" i="9"/>
  <c r="C36" i="9"/>
  <c r="AA36" i="9"/>
  <c r="AY36" i="9" s="1"/>
  <c r="C34" i="9"/>
  <c r="AA26" i="9"/>
  <c r="AA35" i="9"/>
  <c r="AY35" i="9" s="1"/>
  <c r="AA34" i="9"/>
  <c r="AY34" i="9" s="1"/>
  <c r="C26" i="9"/>
  <c r="C35" i="9"/>
  <c r="AY26" i="9" l="1"/>
  <c r="AV30" i="9"/>
  <c r="AS30" i="9"/>
  <c r="AR30" i="9" s="1"/>
  <c r="AO30" i="9"/>
  <c r="AL30" i="9"/>
  <c r="AH30" i="9"/>
  <c r="AE30" i="9"/>
  <c r="AD30" i="9" s="1"/>
  <c r="X30" i="9"/>
  <c r="U30" i="9"/>
  <c r="Q30" i="9"/>
  <c r="N30" i="9"/>
  <c r="J30" i="9"/>
  <c r="G30" i="9"/>
  <c r="AV29" i="9"/>
  <c r="AS29" i="9"/>
  <c r="AO29" i="9"/>
  <c r="AL29" i="9"/>
  <c r="AH29" i="9"/>
  <c r="AE29" i="9"/>
  <c r="AD29" i="9" s="1"/>
  <c r="X29" i="9"/>
  <c r="U29" i="9"/>
  <c r="Q29" i="9"/>
  <c r="N29" i="9"/>
  <c r="J29" i="9"/>
  <c r="G29" i="9"/>
  <c r="AV28" i="9"/>
  <c r="AS28" i="9"/>
  <c r="AO28" i="9"/>
  <c r="AL28" i="9"/>
  <c r="AH28" i="9"/>
  <c r="AE28" i="9"/>
  <c r="X28" i="9"/>
  <c r="U28" i="9"/>
  <c r="Q28" i="9"/>
  <c r="N28" i="9"/>
  <c r="J28" i="9"/>
  <c r="G28" i="9"/>
  <c r="AV27" i="9"/>
  <c r="AS27" i="9"/>
  <c r="AO27" i="9"/>
  <c r="AL27" i="9"/>
  <c r="AH27" i="9"/>
  <c r="AE27" i="9"/>
  <c r="X27" i="9"/>
  <c r="U27" i="9"/>
  <c r="Q27" i="9"/>
  <c r="N27" i="9"/>
  <c r="J27" i="9"/>
  <c r="G27" i="9"/>
  <c r="AV33" i="9"/>
  <c r="AS33" i="9"/>
  <c r="AO33" i="9"/>
  <c r="AL33" i="9"/>
  <c r="AB33" i="9" s="1"/>
  <c r="AH33" i="9"/>
  <c r="AE33" i="9"/>
  <c r="X33" i="9"/>
  <c r="U33" i="9"/>
  <c r="Q33" i="9"/>
  <c r="N33" i="9"/>
  <c r="J33" i="9"/>
  <c r="G33" i="9"/>
  <c r="AV32" i="9"/>
  <c r="AS32" i="9"/>
  <c r="AO32" i="9"/>
  <c r="AL32" i="9"/>
  <c r="AB32" i="9" s="1"/>
  <c r="AH32" i="9"/>
  <c r="AC32" i="9" s="1"/>
  <c r="AE32" i="9"/>
  <c r="X32" i="9"/>
  <c r="U32" i="9"/>
  <c r="Q32" i="9"/>
  <c r="N32" i="9"/>
  <c r="J32" i="9"/>
  <c r="G32" i="9"/>
  <c r="AV31" i="9"/>
  <c r="AS31" i="9"/>
  <c r="AO31" i="9"/>
  <c r="AL31" i="9"/>
  <c r="AH31" i="9"/>
  <c r="AC31" i="9" s="1"/>
  <c r="AE31" i="9"/>
  <c r="X31" i="9"/>
  <c r="U31" i="9"/>
  <c r="Q31" i="9"/>
  <c r="N31" i="9"/>
  <c r="J31" i="9"/>
  <c r="G31" i="9"/>
  <c r="AX39" i="9"/>
  <c r="AW39" i="9"/>
  <c r="AU39" i="9"/>
  <c r="AT39" i="9"/>
  <c r="AV38" i="9"/>
  <c r="AS38" i="9"/>
  <c r="AV37" i="9"/>
  <c r="AS37" i="9"/>
  <c r="AV16" i="9"/>
  <c r="AS16" i="9"/>
  <c r="AV15" i="9"/>
  <c r="AS15" i="9"/>
  <c r="AX14" i="9"/>
  <c r="AW14" i="9"/>
  <c r="AU14" i="9"/>
  <c r="AO37" i="9"/>
  <c r="AL37" i="9"/>
  <c r="AH37" i="9"/>
  <c r="AE37" i="9"/>
  <c r="X37" i="9"/>
  <c r="U37" i="9"/>
  <c r="Q37" i="9"/>
  <c r="N37" i="9"/>
  <c r="J37" i="9"/>
  <c r="G37" i="9"/>
  <c r="AO16" i="9"/>
  <c r="AL16" i="9"/>
  <c r="AH16" i="9"/>
  <c r="AE16" i="9"/>
  <c r="X16" i="9"/>
  <c r="BT16" i="9" s="1"/>
  <c r="U16" i="9"/>
  <c r="Q16" i="9"/>
  <c r="N16" i="9"/>
  <c r="J16" i="9"/>
  <c r="G16" i="9"/>
  <c r="Z39" i="9"/>
  <c r="Y39" i="9"/>
  <c r="W39" i="9"/>
  <c r="V39" i="9"/>
  <c r="X38" i="9"/>
  <c r="U38" i="9"/>
  <c r="Z14" i="9"/>
  <c r="Y14" i="9"/>
  <c r="W14" i="9"/>
  <c r="V14" i="9"/>
  <c r="Q13" i="8"/>
  <c r="Y13" i="8" s="1"/>
  <c r="Q14" i="8"/>
  <c r="Y14" i="8" s="1"/>
  <c r="Q15" i="8"/>
  <c r="Y15" i="8" s="1"/>
  <c r="Q16" i="8"/>
  <c r="Y16" i="8" s="1"/>
  <c r="Q17" i="8"/>
  <c r="Y17" i="8" s="1"/>
  <c r="Q18" i="8"/>
  <c r="Y18" i="8" s="1"/>
  <c r="Q19" i="8"/>
  <c r="Y19" i="8" s="1"/>
  <c r="Q20" i="8"/>
  <c r="Y20" i="8" s="1"/>
  <c r="Q21" i="8"/>
  <c r="Y21" i="8" s="1"/>
  <c r="Q22" i="8"/>
  <c r="Y22" i="8" s="1"/>
  <c r="Q23" i="8"/>
  <c r="D11" i="8"/>
  <c r="BQ37" i="9" l="1"/>
  <c r="BQ38" i="9"/>
  <c r="BR39" i="9"/>
  <c r="AB29" i="9"/>
  <c r="BJ29" i="9"/>
  <c r="AB30" i="9"/>
  <c r="BJ30" i="9"/>
  <c r="BU39" i="9"/>
  <c r="BQ31" i="9"/>
  <c r="BQ32" i="9"/>
  <c r="BQ33" i="9"/>
  <c r="BQ27" i="9"/>
  <c r="BQ28" i="9"/>
  <c r="BQ29" i="9"/>
  <c r="BU14" i="9"/>
  <c r="AB28" i="9"/>
  <c r="AZ28" i="9" s="1"/>
  <c r="AB31" i="9"/>
  <c r="BQ16" i="9"/>
  <c r="AC37" i="9"/>
  <c r="AC33" i="9"/>
  <c r="AA33" i="9" s="1"/>
  <c r="AC27" i="9"/>
  <c r="AB37" i="9"/>
  <c r="AZ37" i="9" s="1"/>
  <c r="AB16" i="9"/>
  <c r="AB27" i="9"/>
  <c r="AC16" i="9"/>
  <c r="AC28" i="9"/>
  <c r="AC29" i="9"/>
  <c r="AC30" i="9"/>
  <c r="BQ15" i="9"/>
  <c r="BR14" i="9"/>
  <c r="BJ28" i="9"/>
  <c r="T30" i="9"/>
  <c r="AR28" i="9"/>
  <c r="BP28" i="9" s="1"/>
  <c r="AR15" i="9"/>
  <c r="BP15" i="9" s="1"/>
  <c r="F33" i="9"/>
  <c r="T33" i="9"/>
  <c r="T27" i="9"/>
  <c r="AK27" i="9"/>
  <c r="AD32" i="9"/>
  <c r="AA32" i="9" s="1"/>
  <c r="AD33" i="9"/>
  <c r="AD28" i="9"/>
  <c r="D37" i="9"/>
  <c r="T28" i="9"/>
  <c r="D31" i="9"/>
  <c r="F28" i="9"/>
  <c r="T29" i="9"/>
  <c r="AK29" i="9"/>
  <c r="F32" i="9"/>
  <c r="AR27" i="9"/>
  <c r="BP27" i="9" s="1"/>
  <c r="M28" i="9"/>
  <c r="F30" i="9"/>
  <c r="T31" i="9"/>
  <c r="E33" i="9"/>
  <c r="AR33" i="9"/>
  <c r="BP33" i="9" s="1"/>
  <c r="E29" i="9"/>
  <c r="E27" i="9"/>
  <c r="AK28" i="9"/>
  <c r="AD31" i="9"/>
  <c r="M27" i="9"/>
  <c r="AD27" i="9"/>
  <c r="E32" i="9"/>
  <c r="AR32" i="9"/>
  <c r="AR29" i="9"/>
  <c r="D32" i="9"/>
  <c r="AZ32" i="9" s="1"/>
  <c r="T32" i="9"/>
  <c r="E28" i="9"/>
  <c r="M29" i="9"/>
  <c r="E30" i="9"/>
  <c r="F31" i="9"/>
  <c r="E31" i="9"/>
  <c r="AR31" i="9"/>
  <c r="AK32" i="9"/>
  <c r="M33" i="9"/>
  <c r="AK33" i="9"/>
  <c r="F27" i="9"/>
  <c r="F29" i="9"/>
  <c r="AA29" i="9"/>
  <c r="M30" i="9"/>
  <c r="AK30" i="9"/>
  <c r="D27" i="9"/>
  <c r="D30" i="9"/>
  <c r="E16" i="9"/>
  <c r="E37" i="9"/>
  <c r="D33" i="9"/>
  <c r="AZ33" i="9" s="1"/>
  <c r="D28" i="9"/>
  <c r="D29" i="9"/>
  <c r="T37" i="9"/>
  <c r="AK37" i="9"/>
  <c r="M31" i="9"/>
  <c r="AK31" i="9"/>
  <c r="M32" i="9"/>
  <c r="AX13" i="9"/>
  <c r="AS39" i="9"/>
  <c r="D16" i="9"/>
  <c r="AT13" i="9"/>
  <c r="V13" i="9"/>
  <c r="AU13" i="9"/>
  <c r="AV39" i="9"/>
  <c r="AW13" i="9"/>
  <c r="AR16" i="9"/>
  <c r="AR38" i="9"/>
  <c r="BP38" i="9" s="1"/>
  <c r="AR37" i="9"/>
  <c r="BP37" i="9" s="1"/>
  <c r="M16" i="9"/>
  <c r="AV14" i="9"/>
  <c r="W13" i="9"/>
  <c r="AS14" i="9"/>
  <c r="T16" i="9"/>
  <c r="AK16" i="9"/>
  <c r="AD37" i="9"/>
  <c r="Z13" i="9"/>
  <c r="Y13" i="9"/>
  <c r="BU13" i="9" s="1"/>
  <c r="T38" i="9"/>
  <c r="X39" i="9"/>
  <c r="F37" i="9"/>
  <c r="F16" i="9"/>
  <c r="AD16" i="9"/>
  <c r="M37" i="9"/>
  <c r="U39" i="9"/>
  <c r="U14" i="9"/>
  <c r="X14" i="9"/>
  <c r="R11" i="7"/>
  <c r="D11" i="7"/>
  <c r="E11" i="7"/>
  <c r="F11" i="4"/>
  <c r="BQ39" i="9" l="1"/>
  <c r="BI30" i="9"/>
  <c r="AZ30" i="9"/>
  <c r="AY29" i="9"/>
  <c r="AZ31" i="9"/>
  <c r="AA30" i="9"/>
  <c r="AY30" i="9" s="1"/>
  <c r="AZ29" i="9"/>
  <c r="BP29" i="9"/>
  <c r="AY32" i="9"/>
  <c r="BT39" i="9"/>
  <c r="BP32" i="9"/>
  <c r="BA16" i="9"/>
  <c r="BT14" i="9"/>
  <c r="AZ27" i="9"/>
  <c r="BP31" i="9"/>
  <c r="BI29" i="9"/>
  <c r="AZ16" i="9"/>
  <c r="AA16" i="9"/>
  <c r="BR13" i="9"/>
  <c r="BQ14" i="9"/>
  <c r="BP16" i="9"/>
  <c r="BI28" i="9"/>
  <c r="C16" i="9"/>
  <c r="C33" i="9"/>
  <c r="AY33" i="9" s="1"/>
  <c r="C32" i="9"/>
  <c r="C29" i="9"/>
  <c r="AA27" i="9"/>
  <c r="C27" i="9"/>
  <c r="AA37" i="9"/>
  <c r="AY37" i="9" s="1"/>
  <c r="C31" i="9"/>
  <c r="AA31" i="9"/>
  <c r="AR39" i="9"/>
  <c r="BP39" i="9" s="1"/>
  <c r="C28" i="9"/>
  <c r="AA28" i="9"/>
  <c r="AY28" i="9" s="1"/>
  <c r="AV13" i="9"/>
  <c r="T39" i="9"/>
  <c r="AS13" i="9"/>
  <c r="C30" i="9"/>
  <c r="C37" i="9"/>
  <c r="AR14" i="9"/>
  <c r="T14" i="9"/>
  <c r="X13" i="9"/>
  <c r="U13" i="9"/>
  <c r="AY31" i="9" l="1"/>
  <c r="AY27" i="9"/>
  <c r="AY16" i="9"/>
  <c r="AR13" i="9"/>
  <c r="BT13" i="9"/>
  <c r="BQ13" i="9"/>
  <c r="T13" i="9"/>
  <c r="BP14" i="9"/>
  <c r="R11" i="4"/>
  <c r="BP13" i="9" l="1"/>
  <c r="K49" i="4" l="1"/>
  <c r="G49" i="4"/>
  <c r="C49" i="4" s="1"/>
  <c r="S49" i="4" s="1"/>
  <c r="K48" i="4"/>
  <c r="G48" i="4"/>
  <c r="C48" i="4" s="1"/>
  <c r="S48" i="4" s="1"/>
  <c r="G100" i="4"/>
  <c r="G101" i="4"/>
  <c r="G102" i="4"/>
  <c r="G103" i="4"/>
  <c r="G104" i="4"/>
  <c r="G105" i="4"/>
  <c r="G106" i="4"/>
  <c r="G107" i="4"/>
  <c r="G108" i="4"/>
  <c r="G12" i="4"/>
  <c r="C12" i="4" s="1"/>
  <c r="G13" i="4"/>
  <c r="C13" i="4" s="1"/>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5" i="4"/>
  <c r="G46" i="4"/>
  <c r="G47"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K51" i="3"/>
  <c r="K24" i="3"/>
  <c r="F49" i="3" l="1"/>
  <c r="D50" i="3"/>
  <c r="E50" i="3"/>
  <c r="G50" i="3"/>
  <c r="H50" i="3"/>
  <c r="K50" i="3" l="1"/>
  <c r="F48" i="3"/>
  <c r="F52" i="3"/>
  <c r="F51" i="3"/>
  <c r="D47" i="3"/>
  <c r="D46" i="3" s="1"/>
  <c r="E47" i="3"/>
  <c r="E46" i="3" s="1"/>
  <c r="G47" i="3"/>
  <c r="H47" i="3"/>
  <c r="J47" i="3" l="1"/>
  <c r="F47" i="3"/>
  <c r="H46" i="3"/>
  <c r="H22" i="3" s="1"/>
  <c r="G46" i="3"/>
  <c r="G22" i="3" s="1"/>
  <c r="F35" i="3" l="1"/>
  <c r="F38" i="3"/>
  <c r="F37" i="3"/>
  <c r="F34" i="3"/>
  <c r="F32" i="3"/>
  <c r="F31" i="3"/>
  <c r="D36" i="3"/>
  <c r="E36" i="3"/>
  <c r="G36" i="3"/>
  <c r="H36" i="3"/>
  <c r="C36" i="3"/>
  <c r="C31" i="13" s="1"/>
  <c r="D33" i="3"/>
  <c r="E33" i="3"/>
  <c r="G33" i="3"/>
  <c r="H33" i="3"/>
  <c r="C33" i="3"/>
  <c r="C30" i="13" s="1"/>
  <c r="D30" i="3"/>
  <c r="E30" i="3"/>
  <c r="G30" i="3"/>
  <c r="H30" i="3"/>
  <c r="C30" i="3"/>
  <c r="C29" i="13" s="1"/>
  <c r="C28" i="13" s="1"/>
  <c r="C30" i="10" s="1"/>
  <c r="C29" i="3" l="1"/>
  <c r="D29" i="3"/>
  <c r="F36" i="3"/>
  <c r="D31" i="13" s="1"/>
  <c r="E29" i="3"/>
  <c r="H29" i="3"/>
  <c r="F33" i="3"/>
  <c r="D30" i="13" s="1"/>
  <c r="G29" i="3"/>
  <c r="F30" i="3"/>
  <c r="D29" i="13" s="1"/>
  <c r="F29" i="3" l="1"/>
  <c r="D30" i="10" s="1"/>
  <c r="C24" i="3" l="1"/>
  <c r="C23" i="13" s="1"/>
  <c r="E17" i="2"/>
  <c r="E18" i="2"/>
  <c r="E19" i="2"/>
  <c r="F17" i="2"/>
  <c r="F21" i="2"/>
  <c r="G12" i="2" l="1"/>
  <c r="C14" i="2" l="1"/>
  <c r="C13" i="2" s="1"/>
  <c r="D28" i="13" l="1"/>
  <c r="C32" i="13" l="1"/>
  <c r="C27" i="13" s="1"/>
  <c r="F49" i="12" l="1"/>
  <c r="E49" i="12"/>
  <c r="F41" i="12"/>
  <c r="F40" i="12"/>
  <c r="F32" i="12"/>
  <c r="G19" i="12"/>
  <c r="G20" i="12"/>
  <c r="E45" i="12" l="1"/>
  <c r="F45" i="12"/>
  <c r="D27" i="12"/>
  <c r="D20" i="12"/>
  <c r="H20" i="12" s="1"/>
  <c r="D50" i="12"/>
  <c r="C50" i="12"/>
  <c r="D43" i="12"/>
  <c r="D47" i="12"/>
  <c r="C45" i="12"/>
  <c r="D42" i="12"/>
  <c r="D41" i="12"/>
  <c r="D32" i="12"/>
  <c r="D31" i="12"/>
  <c r="D30" i="12"/>
  <c r="D29" i="12"/>
  <c r="D26" i="12"/>
  <c r="C28" i="12"/>
  <c r="C24" i="12" s="1"/>
  <c r="D23" i="12"/>
  <c r="D22" i="12"/>
  <c r="D13" i="12"/>
  <c r="C12" i="10"/>
  <c r="D45" i="12" l="1"/>
  <c r="H47" i="12"/>
  <c r="J24" i="3" l="1"/>
  <c r="J25" i="3"/>
  <c r="J26" i="3"/>
  <c r="K26" i="3"/>
  <c r="J27" i="3"/>
  <c r="K27" i="3"/>
  <c r="J41" i="3"/>
  <c r="J42" i="3"/>
  <c r="J43" i="3"/>
  <c r="J44" i="3"/>
  <c r="J48" i="3"/>
  <c r="J50" i="3"/>
  <c r="J52" i="3"/>
  <c r="H39" i="9" l="1"/>
  <c r="I39" i="9"/>
  <c r="K39" i="9"/>
  <c r="L39" i="9"/>
  <c r="O39" i="9"/>
  <c r="P39" i="9"/>
  <c r="R39" i="9"/>
  <c r="S39" i="9"/>
  <c r="AF39" i="9"/>
  <c r="AG39" i="9"/>
  <c r="AI39" i="9"/>
  <c r="BG39" i="9" s="1"/>
  <c r="AJ39" i="9"/>
  <c r="AM39" i="9"/>
  <c r="AN39" i="9"/>
  <c r="AP39" i="9"/>
  <c r="AQ39" i="9"/>
  <c r="BN39" i="9" l="1"/>
  <c r="AH39" i="9"/>
  <c r="N39" i="9"/>
  <c r="AO39" i="9"/>
  <c r="AL39" i="9"/>
  <c r="J39" i="9"/>
  <c r="G39" i="9"/>
  <c r="AE39" i="9"/>
  <c r="Q39" i="9"/>
  <c r="BM39" i="9" l="1"/>
  <c r="BF39" i="9"/>
  <c r="E39" i="9"/>
  <c r="BA39" i="9" s="1"/>
  <c r="M39" i="9"/>
  <c r="F39" i="9"/>
  <c r="BB39" i="9" s="1"/>
  <c r="D39" i="9"/>
  <c r="AZ39" i="9" s="1"/>
  <c r="AK39" i="9"/>
  <c r="BI39" i="9" l="1"/>
  <c r="AA39" i="9"/>
  <c r="AY39" i="9" s="1"/>
  <c r="H14" i="9" l="1"/>
  <c r="I14" i="9"/>
  <c r="K14" i="9"/>
  <c r="L14" i="9"/>
  <c r="O14" i="9"/>
  <c r="P14" i="9"/>
  <c r="R14" i="9"/>
  <c r="S14" i="9"/>
  <c r="AF14" i="9"/>
  <c r="AG14" i="9"/>
  <c r="AI14" i="9"/>
  <c r="AJ14" i="9"/>
  <c r="AM14" i="9"/>
  <c r="AN14" i="9"/>
  <c r="AP14" i="9"/>
  <c r="AQ14" i="9"/>
  <c r="BK14" i="9" l="1"/>
  <c r="BG14" i="9"/>
  <c r="BN14" i="9"/>
  <c r="K113" i="4"/>
  <c r="N11" i="4"/>
  <c r="N10" i="4" s="1"/>
  <c r="C16" i="4"/>
  <c r="C17" i="4"/>
  <c r="C18" i="4"/>
  <c r="C19" i="4"/>
  <c r="C20" i="4"/>
  <c r="C21" i="4"/>
  <c r="C22" i="4"/>
  <c r="C23" i="4"/>
  <c r="C24" i="4"/>
  <c r="C25" i="4"/>
  <c r="C26" i="4"/>
  <c r="C27" i="4"/>
  <c r="C28" i="4"/>
  <c r="C29" i="4"/>
  <c r="C30" i="4"/>
  <c r="C32" i="4"/>
  <c r="C33" i="4"/>
  <c r="C34" i="4"/>
  <c r="C35" i="4"/>
  <c r="C36" i="4"/>
  <c r="C37" i="4"/>
  <c r="C38" i="4"/>
  <c r="C39" i="4"/>
  <c r="C40" i="4"/>
  <c r="C41" i="4"/>
  <c r="C42" i="4"/>
  <c r="C43" i="4"/>
  <c r="C45" i="4"/>
  <c r="C46" i="4"/>
  <c r="C47"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J122" i="4"/>
  <c r="D11" i="4"/>
  <c r="H11" i="4"/>
  <c r="I11" i="4"/>
  <c r="P11" i="4"/>
  <c r="P10" i="4" s="1"/>
  <c r="Q11" i="4"/>
  <c r="Q10" i="4" s="1"/>
  <c r="E40" i="3"/>
  <c r="G40" i="3"/>
  <c r="X11" i="4" l="1"/>
  <c r="W11" i="4"/>
  <c r="C51" i="3"/>
  <c r="C52" i="3"/>
  <c r="C53" i="3"/>
  <c r="F53" i="3"/>
  <c r="C54" i="3"/>
  <c r="F54" i="3"/>
  <c r="C55" i="3"/>
  <c r="F55" i="3"/>
  <c r="E39" i="3"/>
  <c r="C48" i="3"/>
  <c r="D40" i="3"/>
  <c r="J40" i="3" s="1"/>
  <c r="H40" i="3"/>
  <c r="F42" i="3"/>
  <c r="F43" i="3"/>
  <c r="F44" i="3"/>
  <c r="F45" i="3"/>
  <c r="F41" i="3"/>
  <c r="C42" i="3"/>
  <c r="C43" i="3"/>
  <c r="C44" i="3"/>
  <c r="C45" i="3"/>
  <c r="C41" i="3"/>
  <c r="E46" i="2"/>
  <c r="E45" i="2"/>
  <c r="E30" i="2"/>
  <c r="E28" i="2"/>
  <c r="E24" i="2"/>
  <c r="E25" i="2"/>
  <c r="E20" i="2"/>
  <c r="E21" i="2"/>
  <c r="E15" i="2"/>
  <c r="E47" i="2"/>
  <c r="F50" i="3" l="1"/>
  <c r="C50" i="3"/>
  <c r="C47" i="3"/>
  <c r="I47" i="3" s="1"/>
  <c r="I43" i="3"/>
  <c r="F40" i="3"/>
  <c r="D33" i="13" s="1"/>
  <c r="I48" i="3"/>
  <c r="I51" i="3"/>
  <c r="I52" i="3"/>
  <c r="I44" i="3"/>
  <c r="I41" i="3"/>
  <c r="I42" i="3"/>
  <c r="K46" i="3"/>
  <c r="J46" i="3"/>
  <c r="D39" i="3"/>
  <c r="G39" i="3"/>
  <c r="G28" i="3" s="1"/>
  <c r="J22" i="3"/>
  <c r="C40" i="3"/>
  <c r="H39" i="3"/>
  <c r="E33" i="13" l="1"/>
  <c r="C46" i="3"/>
  <c r="I50" i="3"/>
  <c r="F46" i="3"/>
  <c r="K39" i="3"/>
  <c r="H28" i="3"/>
  <c r="C39" i="3"/>
  <c r="C31" i="10" s="1"/>
  <c r="I40" i="3"/>
  <c r="J39" i="3"/>
  <c r="F39" i="3" l="1"/>
  <c r="D34" i="13"/>
  <c r="I46" i="3"/>
  <c r="I39" i="3"/>
  <c r="F10" i="4"/>
  <c r="E34" i="13" l="1"/>
  <c r="D32" i="13"/>
  <c r="F28" i="3"/>
  <c r="D31" i="10"/>
  <c r="D29" i="10" s="1"/>
  <c r="C15" i="4"/>
  <c r="E32" i="13" l="1"/>
  <c r="D27" i="13"/>
  <c r="E27" i="13" s="1"/>
  <c r="L11" i="4"/>
  <c r="L10" i="4" s="1"/>
  <c r="K50" i="4"/>
  <c r="S50" i="4" s="1"/>
  <c r="M11" i="4"/>
  <c r="M10" i="4" s="1"/>
  <c r="M121" i="4" s="1"/>
  <c r="N123" i="4" s="1"/>
  <c r="R10" i="4" l="1"/>
  <c r="C14" i="4"/>
  <c r="J11" i="4"/>
  <c r="C31" i="4"/>
  <c r="C11" i="4" l="1"/>
  <c r="H30" i="12"/>
  <c r="G29" i="12"/>
  <c r="D28" i="12"/>
  <c r="D18" i="12"/>
  <c r="F18" i="12"/>
  <c r="C18" i="12"/>
  <c r="G30" i="12" l="1"/>
  <c r="H29" i="12"/>
  <c r="G11" i="4" l="1"/>
  <c r="O25" i="4" l="1"/>
  <c r="E34" i="2" l="1"/>
  <c r="F34" i="2" l="1"/>
  <c r="O109" i="4" l="1"/>
  <c r="K109" i="4" s="1"/>
  <c r="O110" i="4"/>
  <c r="K110" i="4" s="1"/>
  <c r="O111" i="4"/>
  <c r="K111" i="4" s="1"/>
  <c r="O112" i="4"/>
  <c r="K112" i="4" s="1"/>
  <c r="AK7" i="9" l="1"/>
  <c r="U13" i="7" l="1"/>
  <c r="U14" i="7"/>
  <c r="U15" i="7"/>
  <c r="U16" i="7"/>
  <c r="U17" i="7"/>
  <c r="U18" i="7"/>
  <c r="U19" i="7"/>
  <c r="U20" i="7"/>
  <c r="U21" i="7"/>
  <c r="U22" i="7"/>
  <c r="U23" i="7"/>
  <c r="T12" i="7"/>
  <c r="U12" i="7"/>
  <c r="AF13" i="9" l="1"/>
  <c r="AG13" i="9"/>
  <c r="AI13" i="9"/>
  <c r="AJ13" i="9"/>
  <c r="AM13" i="9"/>
  <c r="AN13" i="9"/>
  <c r="AP13" i="9"/>
  <c r="AQ13" i="9"/>
  <c r="AL15" i="9"/>
  <c r="AL38" i="9"/>
  <c r="AO15" i="9"/>
  <c r="AO38" i="9"/>
  <c r="AE15" i="9"/>
  <c r="AE38" i="9"/>
  <c r="AH15" i="9"/>
  <c r="AH38" i="9"/>
  <c r="AC38" i="9" l="1"/>
  <c r="AC15" i="9"/>
  <c r="AB15" i="9"/>
  <c r="AB38" i="9"/>
  <c r="AL14" i="9"/>
  <c r="AL13" i="9" s="1"/>
  <c r="AH14" i="9"/>
  <c r="AH13" i="9" s="1"/>
  <c r="AO14" i="9"/>
  <c r="AO13" i="9" s="1"/>
  <c r="AE14" i="9"/>
  <c r="AE13" i="9" s="1"/>
  <c r="AK15" i="9"/>
  <c r="AK38" i="9"/>
  <c r="AD38" i="9"/>
  <c r="AD15" i="9"/>
  <c r="AA38" i="9" l="1"/>
  <c r="AA15" i="9"/>
  <c r="AK14" i="9"/>
  <c r="AK13" i="9" s="1"/>
  <c r="AC14" i="9"/>
  <c r="AD14" i="9"/>
  <c r="AD13" i="9" s="1"/>
  <c r="AC13" i="9" l="1"/>
  <c r="AB14" i="9"/>
  <c r="AB13" i="9" l="1"/>
  <c r="AA14" i="9"/>
  <c r="G15" i="9"/>
  <c r="J15" i="9"/>
  <c r="E15" i="9" s="1"/>
  <c r="G38" i="9"/>
  <c r="J38" i="9"/>
  <c r="N38" i="9"/>
  <c r="Q38" i="9"/>
  <c r="AA13" i="9" l="1"/>
  <c r="E38" i="9"/>
  <c r="D38" i="9"/>
  <c r="AZ38" i="9" s="1"/>
  <c r="D15" i="9"/>
  <c r="AZ15" i="9" s="1"/>
  <c r="J14" i="9"/>
  <c r="BF14" i="9" s="1"/>
  <c r="N14" i="9"/>
  <c r="BJ14" i="9" s="1"/>
  <c r="G14" i="9"/>
  <c r="Q14" i="9"/>
  <c r="BM14" i="9" s="1"/>
  <c r="P13" i="9"/>
  <c r="L13" i="9"/>
  <c r="S13" i="9"/>
  <c r="K13" i="9"/>
  <c r="BG13" i="9" s="1"/>
  <c r="M38" i="9"/>
  <c r="R13" i="9"/>
  <c r="BN13" i="9" s="1"/>
  <c r="F38" i="9"/>
  <c r="F15" i="9"/>
  <c r="T18" i="8"/>
  <c r="T19" i="8"/>
  <c r="T21" i="8"/>
  <c r="T22" i="8"/>
  <c r="T20" i="8"/>
  <c r="T13" i="8"/>
  <c r="T17" i="8"/>
  <c r="C38" i="9" l="1"/>
  <c r="AY38" i="9" s="1"/>
  <c r="D14" i="9"/>
  <c r="AZ14" i="9" s="1"/>
  <c r="M14" i="9"/>
  <c r="BI14" i="9" s="1"/>
  <c r="F14" i="9"/>
  <c r="BB14" i="9" s="1"/>
  <c r="E14" i="9"/>
  <c r="BA14" i="9" s="1"/>
  <c r="I13" i="9"/>
  <c r="C15" i="9"/>
  <c r="AY15" i="9" s="1"/>
  <c r="J13" i="9"/>
  <c r="BF13" i="9" s="1"/>
  <c r="H13" i="9"/>
  <c r="O13" i="9"/>
  <c r="BK13" i="9" s="1"/>
  <c r="Q13" i="9"/>
  <c r="BM13" i="9" s="1"/>
  <c r="T14" i="8"/>
  <c r="T23" i="8"/>
  <c r="T12" i="8"/>
  <c r="T16" i="8"/>
  <c r="T15" i="8"/>
  <c r="C14" i="9" l="1"/>
  <c r="AY14" i="9" s="1"/>
  <c r="G13" i="9"/>
  <c r="N13" i="9"/>
  <c r="BJ13" i="9" s="1"/>
  <c r="E12" i="8"/>
  <c r="Y23" i="8"/>
  <c r="E13" i="8"/>
  <c r="C13" i="8" s="1"/>
  <c r="E14" i="8"/>
  <c r="C14" i="8" s="1"/>
  <c r="C15" i="8"/>
  <c r="E17" i="8"/>
  <c r="C17" i="8" s="1"/>
  <c r="E18" i="8"/>
  <c r="C18" i="8" s="1"/>
  <c r="E19" i="8"/>
  <c r="C19" i="8" s="1"/>
  <c r="E20" i="8"/>
  <c r="C20" i="8" s="1"/>
  <c r="E21" i="8"/>
  <c r="C21" i="8" s="1"/>
  <c r="E22" i="8"/>
  <c r="C22" i="8" s="1"/>
  <c r="E23" i="8"/>
  <c r="C23" i="8" s="1"/>
  <c r="H11" i="8"/>
  <c r="I11" i="8"/>
  <c r="J11" i="8"/>
  <c r="L11" i="8"/>
  <c r="N11" i="8"/>
  <c r="P11" i="8"/>
  <c r="R11" i="8"/>
  <c r="T15" i="7"/>
  <c r="T16" i="7"/>
  <c r="T23" i="7"/>
  <c r="N13" i="7"/>
  <c r="N14" i="7"/>
  <c r="N15" i="7"/>
  <c r="N16" i="7"/>
  <c r="N17" i="7"/>
  <c r="N18" i="7"/>
  <c r="N19" i="7"/>
  <c r="N20" i="7"/>
  <c r="N21" i="7"/>
  <c r="N22" i="7"/>
  <c r="N23" i="7"/>
  <c r="V23" i="7" s="1"/>
  <c r="N12" i="7"/>
  <c r="G21" i="7" l="1"/>
  <c r="V21" i="7"/>
  <c r="G17" i="7"/>
  <c r="V17" i="7"/>
  <c r="G15" i="7"/>
  <c r="V15" i="7"/>
  <c r="G14" i="7"/>
  <c r="V14" i="7"/>
  <c r="V19" i="7"/>
  <c r="G19" i="7"/>
  <c r="G18" i="7"/>
  <c r="V18" i="7"/>
  <c r="G13" i="7"/>
  <c r="V13" i="7"/>
  <c r="G22" i="7"/>
  <c r="V22" i="7"/>
  <c r="G20" i="7"/>
  <c r="V20" i="7"/>
  <c r="G16" i="7"/>
  <c r="V16" i="7"/>
  <c r="G12" i="7"/>
  <c r="V12" i="7"/>
  <c r="Z11" i="8"/>
  <c r="C12" i="8"/>
  <c r="T11" i="8"/>
  <c r="M23" i="8"/>
  <c r="W23" i="8"/>
  <c r="M18" i="8"/>
  <c r="U18" i="8" s="1"/>
  <c r="G23" i="7"/>
  <c r="M20" i="8"/>
  <c r="U20" i="8" s="1"/>
  <c r="M14" i="8"/>
  <c r="U14" i="8" s="1"/>
  <c r="M19" i="8"/>
  <c r="U19" i="8" s="1"/>
  <c r="F13" i="9"/>
  <c r="BB13" i="9" s="1"/>
  <c r="E13" i="9"/>
  <c r="BA13" i="9" s="1"/>
  <c r="M13" i="9"/>
  <c r="BI13" i="9" s="1"/>
  <c r="E16" i="8"/>
  <c r="C16" i="8" s="1"/>
  <c r="C13" i="7"/>
  <c r="C14" i="7"/>
  <c r="C15" i="7"/>
  <c r="C16" i="7"/>
  <c r="C17" i="7"/>
  <c r="C18" i="7"/>
  <c r="C19" i="7"/>
  <c r="C20" i="7"/>
  <c r="C21" i="7"/>
  <c r="C22" i="7"/>
  <c r="C23" i="7"/>
  <c r="C12" i="7"/>
  <c r="F11" i="7"/>
  <c r="K11" i="7"/>
  <c r="H11" i="7"/>
  <c r="L11" i="7"/>
  <c r="M11" i="7"/>
  <c r="N11" i="7"/>
  <c r="O11" i="7"/>
  <c r="P11" i="7"/>
  <c r="Q11" i="7"/>
  <c r="G11" i="7" l="1"/>
  <c r="V11" i="7"/>
  <c r="C11" i="8"/>
  <c r="E11" i="8"/>
  <c r="S23" i="7"/>
  <c r="S22" i="7"/>
  <c r="S19" i="7"/>
  <c r="S18" i="7"/>
  <c r="S16" i="7"/>
  <c r="S12" i="7"/>
  <c r="M16" i="8"/>
  <c r="S15" i="7"/>
  <c r="S14" i="7"/>
  <c r="S13" i="7"/>
  <c r="S20" i="7"/>
  <c r="S21" i="7"/>
  <c r="S17" i="7"/>
  <c r="U11" i="7"/>
  <c r="M15" i="8"/>
  <c r="K19" i="8"/>
  <c r="S19" i="8" s="1"/>
  <c r="K20" i="8"/>
  <c r="S20" i="8" s="1"/>
  <c r="M22" i="8"/>
  <c r="U22" i="8" s="1"/>
  <c r="K23" i="8"/>
  <c r="S23" i="8" s="1"/>
  <c r="U23" i="8"/>
  <c r="T11" i="7"/>
  <c r="M13" i="8"/>
  <c r="U13" i="8" s="1"/>
  <c r="M21" i="8"/>
  <c r="U21" i="8" s="1"/>
  <c r="K14" i="8"/>
  <c r="S14" i="8" s="1"/>
  <c r="M17" i="8"/>
  <c r="U17" i="8" s="1"/>
  <c r="K18" i="8"/>
  <c r="S18" i="8" s="1"/>
  <c r="C13" i="9"/>
  <c r="AY13" i="9" s="1"/>
  <c r="D13" i="9"/>
  <c r="AZ13" i="9" s="1"/>
  <c r="C11" i="7"/>
  <c r="K15" i="8" l="1"/>
  <c r="U15" i="8"/>
  <c r="K16" i="8"/>
  <c r="U16" i="8"/>
  <c r="S11" i="7"/>
  <c r="S15" i="8"/>
  <c r="K17" i="8"/>
  <c r="S17" i="8" s="1"/>
  <c r="K21" i="8"/>
  <c r="S21" i="8" s="1"/>
  <c r="K13" i="8"/>
  <c r="S13" i="8" s="1"/>
  <c r="K22" i="8"/>
  <c r="S22" i="8" s="1"/>
  <c r="S16" i="8"/>
  <c r="U12" i="4"/>
  <c r="G109" i="4"/>
  <c r="C109" i="4" s="1"/>
  <c r="G110" i="4"/>
  <c r="C110" i="4" s="1"/>
  <c r="S110" i="4" s="1"/>
  <c r="G111" i="4"/>
  <c r="C111" i="4" s="1"/>
  <c r="S111" i="4" s="1"/>
  <c r="G112" i="4"/>
  <c r="C112" i="4" s="1"/>
  <c r="S112" i="4" s="1"/>
  <c r="K25" i="4"/>
  <c r="S25" i="4" s="1"/>
  <c r="S109" i="4" l="1"/>
  <c r="C10" i="4"/>
  <c r="O97" i="4"/>
  <c r="V97" i="4" s="1"/>
  <c r="O98" i="4"/>
  <c r="V98" i="4" s="1"/>
  <c r="O99" i="4"/>
  <c r="V99" i="4" s="1"/>
  <c r="O100" i="4"/>
  <c r="V100" i="4" s="1"/>
  <c r="O101" i="4"/>
  <c r="V101" i="4" s="1"/>
  <c r="O102" i="4"/>
  <c r="V102" i="4" s="1"/>
  <c r="O103" i="4"/>
  <c r="V103" i="4" s="1"/>
  <c r="O104" i="4"/>
  <c r="V104" i="4" s="1"/>
  <c r="O105" i="4"/>
  <c r="V105" i="4" s="1"/>
  <c r="O106" i="4"/>
  <c r="V106" i="4" s="1"/>
  <c r="O107" i="4"/>
  <c r="V107" i="4" s="1"/>
  <c r="O108" i="4"/>
  <c r="V108" i="4" s="1"/>
  <c r="K103" i="4" l="1"/>
  <c r="S103" i="4" s="1"/>
  <c r="K99" i="4"/>
  <c r="S99" i="4" s="1"/>
  <c r="K98" i="4"/>
  <c r="S98" i="4" s="1"/>
  <c r="K105" i="4"/>
  <c r="S105" i="4" s="1"/>
  <c r="K97" i="4"/>
  <c r="S97" i="4" s="1"/>
  <c r="K106" i="4"/>
  <c r="S106" i="4" s="1"/>
  <c r="K102" i="4"/>
  <c r="S102" i="4" s="1"/>
  <c r="K108" i="4"/>
  <c r="S108" i="4" s="1"/>
  <c r="K104" i="4"/>
  <c r="S104" i="4" s="1"/>
  <c r="K107" i="4"/>
  <c r="S107" i="4" s="1"/>
  <c r="K101" i="4"/>
  <c r="S101" i="4" s="1"/>
  <c r="K100" i="4"/>
  <c r="S100" i="4" s="1"/>
  <c r="O22" i="4"/>
  <c r="O23" i="4"/>
  <c r="O24" i="4"/>
  <c r="K24" i="4" s="1"/>
  <c r="S24" i="4" s="1"/>
  <c r="O26" i="4"/>
  <c r="V26" i="4" s="1"/>
  <c r="O27" i="4"/>
  <c r="K27" i="4" s="1"/>
  <c r="S27" i="4" s="1"/>
  <c r="O28" i="4"/>
  <c r="V28" i="4" s="1"/>
  <c r="O29" i="4"/>
  <c r="O30" i="4"/>
  <c r="V30" i="4" s="1"/>
  <c r="O31" i="4"/>
  <c r="O32" i="4"/>
  <c r="K32" i="4" s="1"/>
  <c r="S32" i="4" s="1"/>
  <c r="O33" i="4"/>
  <c r="K33" i="4" s="1"/>
  <c r="S33" i="4" s="1"/>
  <c r="O34" i="4"/>
  <c r="K34" i="4" s="1"/>
  <c r="S34" i="4" s="1"/>
  <c r="O35" i="4"/>
  <c r="O36" i="4"/>
  <c r="K36" i="4" s="1"/>
  <c r="S36" i="4" s="1"/>
  <c r="O37" i="4"/>
  <c r="K37" i="4" s="1"/>
  <c r="S37" i="4" s="1"/>
  <c r="O38" i="4"/>
  <c r="O39" i="4"/>
  <c r="O40" i="4"/>
  <c r="K40" i="4" s="1"/>
  <c r="S40" i="4" s="1"/>
  <c r="O41" i="4"/>
  <c r="K41" i="4" s="1"/>
  <c r="S41" i="4" s="1"/>
  <c r="O42" i="4"/>
  <c r="K42" i="4" s="1"/>
  <c r="S42" i="4" s="1"/>
  <c r="O43" i="4"/>
  <c r="K43" i="4" s="1"/>
  <c r="S43" i="4" s="1"/>
  <c r="O45" i="4"/>
  <c r="K45" i="4" s="1"/>
  <c r="S45" i="4" s="1"/>
  <c r="O46" i="4"/>
  <c r="K46" i="4" s="1"/>
  <c r="S46" i="4" s="1"/>
  <c r="O47" i="4"/>
  <c r="K47" i="4" s="1"/>
  <c r="S47" i="4" s="1"/>
  <c r="O51" i="4"/>
  <c r="K51" i="4" s="1"/>
  <c r="S51" i="4" s="1"/>
  <c r="O52" i="4"/>
  <c r="V52" i="4" s="1"/>
  <c r="O53" i="4"/>
  <c r="K53" i="4" s="1"/>
  <c r="S53" i="4" s="1"/>
  <c r="O54" i="4"/>
  <c r="K54" i="4" s="1"/>
  <c r="S54" i="4" s="1"/>
  <c r="O55" i="4"/>
  <c r="K55" i="4" s="1"/>
  <c r="S55" i="4" s="1"/>
  <c r="O56" i="4"/>
  <c r="K56" i="4" s="1"/>
  <c r="S56" i="4" s="1"/>
  <c r="O57" i="4"/>
  <c r="K57" i="4" s="1"/>
  <c r="S57" i="4" s="1"/>
  <c r="O58" i="4"/>
  <c r="K58" i="4" s="1"/>
  <c r="S58" i="4" s="1"/>
  <c r="O59" i="4"/>
  <c r="K59" i="4" s="1"/>
  <c r="S59" i="4" s="1"/>
  <c r="O60" i="4"/>
  <c r="K60" i="4" s="1"/>
  <c r="S60" i="4" s="1"/>
  <c r="O61" i="4"/>
  <c r="K61" i="4" s="1"/>
  <c r="S61" i="4" s="1"/>
  <c r="O62" i="4"/>
  <c r="K62" i="4" s="1"/>
  <c r="S62" i="4" s="1"/>
  <c r="O63" i="4"/>
  <c r="K63" i="4" s="1"/>
  <c r="S63" i="4" s="1"/>
  <c r="O64" i="4"/>
  <c r="K64" i="4" s="1"/>
  <c r="S64" i="4" s="1"/>
  <c r="O65" i="4"/>
  <c r="K65" i="4" s="1"/>
  <c r="S65" i="4" s="1"/>
  <c r="O66" i="4"/>
  <c r="K66" i="4" s="1"/>
  <c r="S66" i="4" s="1"/>
  <c r="O67" i="4"/>
  <c r="K67" i="4" s="1"/>
  <c r="S67" i="4" s="1"/>
  <c r="O68" i="4"/>
  <c r="K68" i="4" s="1"/>
  <c r="S68" i="4" s="1"/>
  <c r="O69" i="4"/>
  <c r="K69" i="4" s="1"/>
  <c r="S69" i="4" s="1"/>
  <c r="O70" i="4"/>
  <c r="K70" i="4" s="1"/>
  <c r="S70" i="4" s="1"/>
  <c r="O71" i="4"/>
  <c r="K71" i="4" s="1"/>
  <c r="S71" i="4" s="1"/>
  <c r="O72" i="4"/>
  <c r="K72" i="4" s="1"/>
  <c r="S72" i="4" s="1"/>
  <c r="O73" i="4"/>
  <c r="K73" i="4" s="1"/>
  <c r="S73" i="4" s="1"/>
  <c r="O74" i="4"/>
  <c r="K74" i="4" s="1"/>
  <c r="S74" i="4" s="1"/>
  <c r="O75" i="4"/>
  <c r="K75" i="4" s="1"/>
  <c r="S75" i="4" s="1"/>
  <c r="O76" i="4"/>
  <c r="K76" i="4" s="1"/>
  <c r="S76" i="4" s="1"/>
  <c r="O77" i="4"/>
  <c r="K77" i="4" s="1"/>
  <c r="S77" i="4" s="1"/>
  <c r="O78" i="4"/>
  <c r="K78" i="4" s="1"/>
  <c r="S78" i="4" s="1"/>
  <c r="O79" i="4"/>
  <c r="K79" i="4" s="1"/>
  <c r="S79" i="4" s="1"/>
  <c r="O80" i="4"/>
  <c r="K80" i="4" s="1"/>
  <c r="S80" i="4" s="1"/>
  <c r="O81" i="4"/>
  <c r="K81" i="4" s="1"/>
  <c r="S81" i="4" s="1"/>
  <c r="O82" i="4"/>
  <c r="K82" i="4" s="1"/>
  <c r="S82" i="4" s="1"/>
  <c r="O83" i="4"/>
  <c r="K83" i="4" s="1"/>
  <c r="S83" i="4" s="1"/>
  <c r="O84" i="4"/>
  <c r="K84" i="4" s="1"/>
  <c r="S84" i="4" s="1"/>
  <c r="O85" i="4"/>
  <c r="K85" i="4" s="1"/>
  <c r="S85" i="4" s="1"/>
  <c r="O86" i="4"/>
  <c r="K86" i="4" s="1"/>
  <c r="S86" i="4" s="1"/>
  <c r="O87" i="4"/>
  <c r="K87" i="4" s="1"/>
  <c r="S87" i="4" s="1"/>
  <c r="O88" i="4"/>
  <c r="K88" i="4" s="1"/>
  <c r="S88" i="4" s="1"/>
  <c r="O89" i="4"/>
  <c r="K89" i="4" s="1"/>
  <c r="S89" i="4" s="1"/>
  <c r="O90" i="4"/>
  <c r="K90" i="4" s="1"/>
  <c r="S90" i="4" s="1"/>
  <c r="O91" i="4"/>
  <c r="K91" i="4" s="1"/>
  <c r="S91" i="4" s="1"/>
  <c r="O92" i="4"/>
  <c r="K92" i="4" s="1"/>
  <c r="S92" i="4" s="1"/>
  <c r="O93" i="4"/>
  <c r="K93" i="4" s="1"/>
  <c r="S93" i="4" s="1"/>
  <c r="O94" i="4"/>
  <c r="K94" i="4" s="1"/>
  <c r="S94" i="4" s="1"/>
  <c r="O95" i="4"/>
  <c r="K95" i="4" s="1"/>
  <c r="S95" i="4" s="1"/>
  <c r="O96" i="4"/>
  <c r="K96" i="4" s="1"/>
  <c r="S96" i="4" s="1"/>
  <c r="K39" i="4"/>
  <c r="S39" i="4" s="1"/>
  <c r="K35" i="4"/>
  <c r="S35" i="4" s="1"/>
  <c r="K28" i="4" l="1"/>
  <c r="S28" i="4" s="1"/>
  <c r="K38" i="4"/>
  <c r="S38" i="4" s="1"/>
  <c r="V38" i="4"/>
  <c r="K29" i="4"/>
  <c r="S29" i="4" s="1"/>
  <c r="V29" i="4"/>
  <c r="K30" i="4"/>
  <c r="S30" i="4" s="1"/>
  <c r="K52" i="4"/>
  <c r="S52" i="4" s="1"/>
  <c r="K23" i="4"/>
  <c r="S23" i="4" s="1"/>
  <c r="K31" i="4"/>
  <c r="S31" i="4" s="1"/>
  <c r="K26" i="4"/>
  <c r="S26" i="4" s="1"/>
  <c r="K22" i="4"/>
  <c r="S22" i="4" s="1"/>
  <c r="O16" i="4"/>
  <c r="K16" i="4" s="1"/>
  <c r="S16" i="4" s="1"/>
  <c r="O17" i="4"/>
  <c r="K17" i="4" s="1"/>
  <c r="S17" i="4" s="1"/>
  <c r="O18" i="4"/>
  <c r="K18" i="4" s="1"/>
  <c r="S18" i="4" s="1"/>
  <c r="O19" i="4"/>
  <c r="O20" i="4"/>
  <c r="V20" i="4" s="1"/>
  <c r="O21" i="4"/>
  <c r="V21" i="4" s="1"/>
  <c r="O15" i="4"/>
  <c r="V15" i="4" s="1"/>
  <c r="O13" i="4"/>
  <c r="V13" i="4" s="1"/>
  <c r="O14" i="4"/>
  <c r="V14" i="4" s="1"/>
  <c r="O12" i="4"/>
  <c r="K19" i="4" l="1"/>
  <c r="S19" i="4" s="1"/>
  <c r="V19" i="4"/>
  <c r="K13" i="4"/>
  <c r="S13" i="4" s="1"/>
  <c r="O11" i="4"/>
  <c r="K15" i="4"/>
  <c r="S15" i="4" s="1"/>
  <c r="K21" i="4"/>
  <c r="S21" i="4" s="1"/>
  <c r="K20" i="4"/>
  <c r="S20" i="4" s="1"/>
  <c r="K12" i="4"/>
  <c r="K14" i="4"/>
  <c r="S14" i="4" s="1"/>
  <c r="O10" i="4" l="1"/>
  <c r="V11" i="4"/>
  <c r="K11" i="4"/>
  <c r="K10" i="4" s="1"/>
  <c r="S12" i="4"/>
  <c r="G13" i="3"/>
  <c r="G12" i="3" s="1"/>
  <c r="H13" i="3"/>
  <c r="F25" i="3"/>
  <c r="D24" i="13" s="1"/>
  <c r="F24" i="3"/>
  <c r="D23" i="13" s="1"/>
  <c r="E23" i="13" s="1"/>
  <c r="C25" i="3"/>
  <c r="C24" i="13" s="1"/>
  <c r="E24" i="13" l="1"/>
  <c r="I24" i="3"/>
  <c r="I25" i="3"/>
  <c r="D10" i="4"/>
  <c r="T10" i="4" s="1"/>
  <c r="T11" i="4"/>
  <c r="H10" i="4"/>
  <c r="W10" i="4" s="1"/>
  <c r="I10" i="4"/>
  <c r="X10" i="4" s="1"/>
  <c r="E10" i="4"/>
  <c r="U10" i="4" s="1"/>
  <c r="U11" i="4"/>
  <c r="J10" i="4"/>
  <c r="Y11" i="4"/>
  <c r="F14" i="3"/>
  <c r="F13" i="3" l="1"/>
  <c r="D23" i="10" s="1"/>
  <c r="D12" i="13"/>
  <c r="Y10" i="4"/>
  <c r="S10" i="4"/>
  <c r="G10" i="4"/>
  <c r="V10" i="4" s="1"/>
  <c r="C22" i="3"/>
  <c r="D11" i="13" l="1"/>
  <c r="C21" i="13"/>
  <c r="C24" i="10"/>
  <c r="D28" i="3"/>
  <c r="E28" i="3"/>
  <c r="S11" i="4"/>
  <c r="J28" i="3" l="1"/>
  <c r="K28" i="3"/>
  <c r="C28" i="3"/>
  <c r="I28" i="3" l="1"/>
  <c r="F22" i="3"/>
  <c r="K22" i="3"/>
  <c r="H12" i="3"/>
  <c r="H11" i="3" s="1"/>
  <c r="F59" i="3"/>
  <c r="C26" i="3"/>
  <c r="C27" i="3"/>
  <c r="I27" i="3" s="1"/>
  <c r="I26" i="3" l="1"/>
  <c r="C25" i="13"/>
  <c r="E25" i="13" s="1"/>
  <c r="D21" i="13"/>
  <c r="D24" i="10"/>
  <c r="D22" i="10" s="1"/>
  <c r="D21" i="10" s="1"/>
  <c r="E21" i="13"/>
  <c r="D10" i="13"/>
  <c r="I22" i="3"/>
  <c r="F12" i="3"/>
  <c r="C14" i="3"/>
  <c r="C12" i="13" s="1"/>
  <c r="D13" i="3"/>
  <c r="E12" i="13" l="1"/>
  <c r="D12" i="3"/>
  <c r="D11" i="3" s="1"/>
  <c r="E13" i="3"/>
  <c r="C21" i="3"/>
  <c r="C17" i="3"/>
  <c r="C16" i="3"/>
  <c r="C14" i="13" s="1"/>
  <c r="C19" i="3"/>
  <c r="C17" i="13" s="1"/>
  <c r="C20" i="3"/>
  <c r="I21" i="3" l="1"/>
  <c r="C20" i="13"/>
  <c r="C11" i="13" s="1"/>
  <c r="E12" i="3"/>
  <c r="E11" i="3" s="1"/>
  <c r="C13" i="3"/>
  <c r="F20" i="3"/>
  <c r="F19" i="3"/>
  <c r="F17" i="3"/>
  <c r="F16" i="3"/>
  <c r="I19" i="3" l="1"/>
  <c r="D17" i="13"/>
  <c r="E17" i="13" s="1"/>
  <c r="C12" i="3"/>
  <c r="C11" i="3" s="1"/>
  <c r="C23" i="10"/>
  <c r="C22" i="10" s="1"/>
  <c r="I16" i="3"/>
  <c r="D14" i="13"/>
  <c r="E14" i="13" s="1"/>
  <c r="C10" i="13"/>
  <c r="E11" i="13"/>
  <c r="G11" i="3"/>
  <c r="J11" i="3" s="1"/>
  <c r="I12" i="3"/>
  <c r="J12" i="3"/>
  <c r="K12" i="3"/>
  <c r="I13" i="3"/>
  <c r="J13" i="3"/>
  <c r="K13" i="3"/>
  <c r="I14" i="3"/>
  <c r="J14" i="3"/>
  <c r="K14" i="3"/>
  <c r="K11" i="3"/>
  <c r="D29" i="2"/>
  <c r="E48" i="2"/>
  <c r="F24" i="2"/>
  <c r="F25" i="2"/>
  <c r="F28" i="2"/>
  <c r="C9" i="13" l="1"/>
  <c r="E10" i="13"/>
  <c r="F58" i="3"/>
  <c r="F11" i="3" l="1"/>
  <c r="D35" i="13"/>
  <c r="D9" i="13" s="1"/>
  <c r="E9" i="13" s="1"/>
  <c r="I11" i="3"/>
  <c r="E31" i="2"/>
  <c r="F31" i="2"/>
  <c r="F35" i="2"/>
  <c r="E35" i="2"/>
  <c r="F30" i="2"/>
  <c r="F38" i="2"/>
  <c r="E38" i="2"/>
  <c r="D14" i="2" l="1"/>
  <c r="F11" i="2" l="1"/>
  <c r="E11" i="2"/>
  <c r="F40" i="2"/>
  <c r="E40" i="2"/>
  <c r="E39" i="2"/>
  <c r="F39" i="2"/>
  <c r="F36" i="2"/>
  <c r="E36" i="2"/>
  <c r="F37" i="2"/>
  <c r="E37" i="2"/>
  <c r="F33" i="2"/>
  <c r="E33" i="2"/>
  <c r="F42" i="2"/>
  <c r="E42" i="2"/>
  <c r="F41" i="2"/>
  <c r="E41" i="2"/>
  <c r="E14" i="2"/>
  <c r="E13" i="2" s="1"/>
  <c r="F32" i="2"/>
  <c r="E32" i="2"/>
  <c r="D13" i="2"/>
  <c r="D12" i="2" s="1"/>
  <c r="D10" i="2" s="1"/>
  <c r="F29" i="2" l="1"/>
  <c r="C12" i="2"/>
  <c r="E29" i="2"/>
  <c r="E12" i="2" s="1"/>
  <c r="E10" i="2" s="1"/>
  <c r="F14" i="2" l="1"/>
  <c r="F13" i="2"/>
  <c r="C10" i="2" l="1"/>
  <c r="H10" i="2" s="1"/>
  <c r="J10" i="2" s="1"/>
  <c r="F12" i="2" l="1"/>
  <c r="F10" i="2"/>
  <c r="H57" i="12" l="1"/>
  <c r="G57" i="12"/>
  <c r="G53" i="12"/>
  <c r="G52" i="12"/>
  <c r="G43" i="12"/>
  <c r="H43" i="12"/>
  <c r="G45" i="12"/>
  <c r="H45" i="12"/>
  <c r="H42" i="12"/>
  <c r="G42" i="12"/>
  <c r="H41" i="12"/>
  <c r="G41" i="12"/>
  <c r="H32" i="12"/>
  <c r="G32" i="12"/>
  <c r="H31" i="12"/>
  <c r="G31" i="12"/>
  <c r="G26" i="12"/>
  <c r="H26" i="12"/>
  <c r="G27" i="12"/>
  <c r="H27" i="12"/>
  <c r="G28" i="12"/>
  <c r="H28" i="12"/>
  <c r="H25" i="12"/>
  <c r="G25" i="12"/>
  <c r="H13" i="12"/>
  <c r="G13" i="12"/>
  <c r="H18" i="12"/>
  <c r="H17" i="12"/>
  <c r="G17" i="12"/>
  <c r="G16" i="12"/>
  <c r="H16" i="12"/>
  <c r="F24" i="12" l="1"/>
  <c r="J40" i="12"/>
  <c r="I40" i="12"/>
  <c r="D49" i="12" l="1"/>
  <c r="H49" i="12" s="1"/>
  <c r="H50" i="12"/>
  <c r="F27" i="10" l="1"/>
  <c r="F14" i="10"/>
  <c r="F16" i="10"/>
  <c r="F17" i="10"/>
  <c r="F13" i="10"/>
  <c r="F31" i="10" l="1"/>
  <c r="F23" i="10"/>
  <c r="J66" i="12" l="1"/>
  <c r="I66" i="12"/>
  <c r="A61" i="12"/>
  <c r="A62" i="12" s="1"/>
  <c r="A63" i="12" s="1"/>
  <c r="A64" i="12" s="1"/>
  <c r="A65" i="12" s="1"/>
  <c r="J59" i="12"/>
  <c r="I59" i="12"/>
  <c r="J58" i="12"/>
  <c r="I58" i="12"/>
  <c r="G50" i="12"/>
  <c r="J49" i="12"/>
  <c r="I49" i="12"/>
  <c r="J43" i="12"/>
  <c r="I43" i="12"/>
  <c r="J42" i="12"/>
  <c r="I42" i="12"/>
  <c r="J41" i="12"/>
  <c r="I41" i="12"/>
  <c r="J38" i="12"/>
  <c r="I38" i="12"/>
  <c r="J34" i="12"/>
  <c r="I34" i="12"/>
  <c r="J33" i="12"/>
  <c r="I33" i="12"/>
  <c r="J32" i="12"/>
  <c r="I32" i="12"/>
  <c r="J31" i="12"/>
  <c r="I31" i="12"/>
  <c r="J25" i="12"/>
  <c r="I25" i="12"/>
  <c r="J24" i="12"/>
  <c r="I24" i="12"/>
  <c r="E24" i="12"/>
  <c r="D24" i="12"/>
  <c r="H24" i="12" s="1"/>
  <c r="J21" i="12"/>
  <c r="I21" i="12"/>
  <c r="F21" i="12"/>
  <c r="E21" i="12"/>
  <c r="D21" i="12"/>
  <c r="C21" i="12"/>
  <c r="J16" i="12"/>
  <c r="I16" i="12"/>
  <c r="J15" i="12"/>
  <c r="I15" i="12"/>
  <c r="F15" i="12"/>
  <c r="D15" i="12"/>
  <c r="C15" i="12"/>
  <c r="J13" i="12"/>
  <c r="I13" i="12"/>
  <c r="J12" i="12"/>
  <c r="I12" i="12"/>
  <c r="F12" i="12"/>
  <c r="E12" i="12"/>
  <c r="D12" i="12"/>
  <c r="C12" i="12"/>
  <c r="J11" i="12"/>
  <c r="I11" i="12"/>
  <c r="J10" i="12"/>
  <c r="I10" i="12"/>
  <c r="J9" i="12"/>
  <c r="I9" i="12"/>
  <c r="D8" i="12"/>
  <c r="E8" i="12" s="1"/>
  <c r="F8" i="12" s="1"/>
  <c r="E41" i="10"/>
  <c r="E40" i="10"/>
  <c r="E39" i="10"/>
  <c r="E38" i="10"/>
  <c r="E37" i="10"/>
  <c r="E36" i="10"/>
  <c r="E35" i="10"/>
  <c r="E33" i="10"/>
  <c r="E32" i="10"/>
  <c r="A31" i="10"/>
  <c r="E30" i="10"/>
  <c r="C29" i="10"/>
  <c r="A24" i="10"/>
  <c r="A25" i="10" s="1"/>
  <c r="A26" i="10" s="1"/>
  <c r="A27" i="10" s="1"/>
  <c r="A28" i="10" s="1"/>
  <c r="E23" i="10"/>
  <c r="E20" i="10"/>
  <c r="E19" i="10"/>
  <c r="E18" i="10"/>
  <c r="C15" i="10"/>
  <c r="C11" i="10" s="1"/>
  <c r="A17" i="10"/>
  <c r="E16" i="10"/>
  <c r="D15" i="10"/>
  <c r="E14" i="10"/>
  <c r="E13" i="10"/>
  <c r="D12" i="10"/>
  <c r="D10" i="10"/>
  <c r="D11" i="10" l="1"/>
  <c r="D11" i="12"/>
  <c r="D10" i="12" s="1"/>
  <c r="D9" i="12" s="1"/>
  <c r="G12" i="12"/>
  <c r="F12" i="10"/>
  <c r="F15" i="10"/>
  <c r="H12" i="12"/>
  <c r="H15" i="12"/>
  <c r="G33" i="12"/>
  <c r="G24" i="12"/>
  <c r="C49" i="12"/>
  <c r="C21" i="10"/>
  <c r="E15" i="10"/>
  <c r="E12" i="10"/>
  <c r="H33" i="12"/>
  <c r="E17" i="10"/>
  <c r="E31" i="10"/>
  <c r="E11" i="10" l="1"/>
  <c r="F11" i="12"/>
  <c r="H11" i="12" s="1"/>
  <c r="G49" i="12"/>
  <c r="C11" i="12"/>
  <c r="F29" i="10"/>
  <c r="F11" i="10"/>
  <c r="E29" i="10"/>
  <c r="D34" i="10" l="1"/>
  <c r="F24" i="10"/>
  <c r="E24" i="10"/>
  <c r="C10" i="12"/>
  <c r="C9" i="12" s="1"/>
  <c r="F10" i="12"/>
  <c r="H10" i="12" s="1"/>
  <c r="F22" i="10" l="1"/>
  <c r="E22" i="10"/>
  <c r="F9" i="12"/>
  <c r="H9" i="12" s="1"/>
  <c r="F21" i="10" l="1"/>
  <c r="E34" i="10"/>
  <c r="E21" i="10"/>
  <c r="E18" i="12" l="1"/>
  <c r="K19" i="12" s="1"/>
  <c r="E15" i="12" l="1"/>
  <c r="G15" i="12" s="1"/>
  <c r="L20" i="12"/>
  <c r="G18" i="12"/>
  <c r="E11" i="12" l="1"/>
  <c r="E10" i="12" s="1"/>
  <c r="G11" i="12" l="1"/>
  <c r="G10" i="12"/>
  <c r="E9" i="12"/>
  <c r="G9" i="12" s="1"/>
  <c r="M12" i="8" l="1"/>
  <c r="K12" i="8" s="1"/>
  <c r="O11" i="8"/>
  <c r="W11" i="8" s="1"/>
  <c r="W12" i="8"/>
  <c r="Q12" i="8"/>
  <c r="Q11" i="8" s="1"/>
  <c r="Y11" i="8" s="1"/>
  <c r="Y12" i="8" l="1"/>
  <c r="S12" i="8"/>
  <c r="K11" i="8"/>
  <c r="S11" i="8" s="1"/>
  <c r="M11" i="8"/>
  <c r="U11" i="8" s="1"/>
  <c r="U1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44" authorId="0" shapeId="0" xr:uid="{00000000-0006-0000-0400-000001000000}">
      <text>
        <r>
          <rPr>
            <b/>
            <sz val="9"/>
            <color indexed="81"/>
            <rFont val="Tahoma"/>
            <family val="2"/>
          </rPr>
          <t>Author:</t>
        </r>
        <r>
          <rPr>
            <sz val="9"/>
            <color indexed="81"/>
            <rFont val="Tahoma"/>
            <family val="2"/>
          </rPr>
          <t xml:space="preserve">
Vốn ĐTPT hạch toán Chi TX</t>
        </r>
      </text>
    </comment>
  </commentList>
</comments>
</file>

<file path=xl/sharedStrings.xml><?xml version="1.0" encoding="utf-8"?>
<sst xmlns="http://schemas.openxmlformats.org/spreadsheetml/2006/main" count="1238" uniqueCount="558">
  <si>
    <t/>
  </si>
  <si>
    <t>STT</t>
  </si>
  <si>
    <t>Nội dung</t>
  </si>
  <si>
    <t>Dự toán</t>
  </si>
  <si>
    <t>Quyết toán</t>
  </si>
  <si>
    <t>So sánh (%)</t>
  </si>
  <si>
    <t>A</t>
  </si>
  <si>
    <t>CHI CÂN ĐỐI NSĐP</t>
  </si>
  <si>
    <t>I</t>
  </si>
  <si>
    <t>Chi đầu tư phát triển</t>
  </si>
  <si>
    <t>1</t>
  </si>
  <si>
    <t>Chi đầu tư cho các dự án</t>
  </si>
  <si>
    <t>-</t>
  </si>
  <si>
    <t>Chi giáo dục - đào tạo và dạy nghề</t>
  </si>
  <si>
    <t>Chi khoa học và công nghệ</t>
  </si>
  <si>
    <t>Chi đầu tư từ nguồn thu xổ số kiến thiết</t>
  </si>
  <si>
    <t>II</t>
  </si>
  <si>
    <t>Chi thường xuyên</t>
  </si>
  <si>
    <t>2</t>
  </si>
  <si>
    <t>V</t>
  </si>
  <si>
    <t>Dự phòng ngân sách</t>
  </si>
  <si>
    <t>VI</t>
  </si>
  <si>
    <t>Chi tạo nguồn, điều chỉnh tiền lương</t>
  </si>
  <si>
    <t>B</t>
  </si>
  <si>
    <t>CHI CÁC CHƯƠNG TRÌNH MỤC TIÊU</t>
  </si>
  <si>
    <t>Chi các chương trình mục tiêu quốc gia</t>
  </si>
  <si>
    <t xml:space="preserve">Chi các chương trình mục tiêu, nhiệm vụ </t>
  </si>
  <si>
    <t>3</t>
  </si>
  <si>
    <t>4</t>
  </si>
  <si>
    <t>5</t>
  </si>
  <si>
    <t>6</t>
  </si>
  <si>
    <t>7</t>
  </si>
  <si>
    <t>8</t>
  </si>
  <si>
    <t>9</t>
  </si>
  <si>
    <t>10</t>
  </si>
  <si>
    <t>11</t>
  </si>
  <si>
    <t>12</t>
  </si>
  <si>
    <t>13</t>
  </si>
  <si>
    <t>14</t>
  </si>
  <si>
    <t>15</t>
  </si>
  <si>
    <t>16</t>
  </si>
  <si>
    <t>C</t>
  </si>
  <si>
    <t>CHI CHUYỂN NGUỒN SANG NĂM SAU</t>
  </si>
  <si>
    <t>NỘI DUNG</t>
  </si>
  <si>
    <t>TỔNG CHI NSĐP</t>
  </si>
  <si>
    <t>0</t>
  </si>
  <si>
    <t>Chi quốc phòng</t>
  </si>
  <si>
    <t>Chi an ninh và trật tự an toàn xã hội</t>
  </si>
  <si>
    <t>Chi các hoạt động kinh tế</t>
  </si>
  <si>
    <t>Chi đầu tư phát triển khác</t>
  </si>
  <si>
    <t>III</t>
  </si>
  <si>
    <t>IV</t>
  </si>
  <si>
    <t>Biểu mẫu số 53</t>
  </si>
  <si>
    <t>Bao gồm</t>
  </si>
  <si>
    <t>Ngân sách cấp huyện</t>
  </si>
  <si>
    <t>Ngân sách xã</t>
  </si>
  <si>
    <t>Biểu mẫu số 54</t>
  </si>
  <si>
    <t>Tên đơn vị</t>
  </si>
  <si>
    <t>Tổng số</t>
  </si>
  <si>
    <t>Chi chương trình MTQG</t>
  </si>
  <si>
    <t>Chi chuyển nguồn sang ngân sách năm sau</t>
  </si>
  <si>
    <t>17</t>
  </si>
  <si>
    <t>18</t>
  </si>
  <si>
    <t>19</t>
  </si>
  <si>
    <t>20</t>
  </si>
  <si>
    <t>21</t>
  </si>
  <si>
    <t>22</t>
  </si>
  <si>
    <t>23</t>
  </si>
  <si>
    <t>24</t>
  </si>
  <si>
    <t>25</t>
  </si>
  <si>
    <t>26</t>
  </si>
  <si>
    <t>27</t>
  </si>
  <si>
    <t>CÁC CƠ QUAN, TỔ CHỨC</t>
  </si>
  <si>
    <t>Phòng Nông nghiệp và Phát triển nông thôn</t>
  </si>
  <si>
    <t>Phòng Tư pháp</t>
  </si>
  <si>
    <t>Phòng Tài chính - Kế hoạch</t>
  </si>
  <si>
    <t>Phòng Kinh tế và Hạ tầng</t>
  </si>
  <si>
    <t>Phòng Giáo dục và Đào tạo</t>
  </si>
  <si>
    <t>Phòng Y tế</t>
  </si>
  <si>
    <t>Phòng Lao động - Thương binh và Xã hội</t>
  </si>
  <si>
    <t>Phòng Văn hoá và Thông tin</t>
  </si>
  <si>
    <t>Phòng Tài nguyên và Môi trường</t>
  </si>
  <si>
    <t>Phòng Nội vụ</t>
  </si>
  <si>
    <t>Thanh tra huyện</t>
  </si>
  <si>
    <t>Phòng Dân tộc</t>
  </si>
  <si>
    <t>Huyện uỷ</t>
  </si>
  <si>
    <t>Uỷ ban Mặt trận Tổ quốc huyện</t>
  </si>
  <si>
    <t>Hội Liên hiệp Phụ nữ huyện</t>
  </si>
  <si>
    <t>Hội Cựu chiến binh huyện</t>
  </si>
  <si>
    <t>(2) Theo quy định tại Điều 7, Điều 11 Luật NSNN, ngân sách huyện, xã không có nhiệm vụ chi trả lãi vay, chi bổ sung quỹ dự trữ tài chính.</t>
  </si>
  <si>
    <t>(3) Ngân sách xã không có nhiệm vụ chi bổ sung có mục tiêu cho ngân sách cấp dưới.</t>
  </si>
  <si>
    <t>Trong đó</t>
  </si>
  <si>
    <t>Hội Chữ thập đỏ</t>
  </si>
  <si>
    <t>Hội Người cao tuổi</t>
  </si>
  <si>
    <t>Tổng Số</t>
  </si>
  <si>
    <t>Biểu mẫu số 58</t>
  </si>
  <si>
    <t>Quyết toán chi</t>
  </si>
  <si>
    <t>Chi CTMTQG</t>
  </si>
  <si>
    <t>Chi chuyển nguồn sang năm sau</t>
  </si>
  <si>
    <t>Chi giáo dục đào tạo dạy nghề</t>
  </si>
  <si>
    <t>TỔNG SỐ</t>
  </si>
  <si>
    <t>Biểu mẫu số 59</t>
  </si>
  <si>
    <t>So sách (%)</t>
  </si>
  <si>
    <t>Bổ sung cân đối ngân sách</t>
  </si>
  <si>
    <t>Bổ sung có mục tiêu</t>
  </si>
  <si>
    <t>Gồm</t>
  </si>
  <si>
    <t>Vốn đầu tư để thực hiện các CTMT, nhiệm vụ</t>
  </si>
  <si>
    <t>Vốn sự nghiệp thực hiện các chế độ, chính sách</t>
  </si>
  <si>
    <t>Vốn thực hiện các CTMT quốc gia</t>
  </si>
  <si>
    <t>Vốn ngoài nước</t>
  </si>
  <si>
    <t>Vốn trong nước</t>
  </si>
  <si>
    <t>3=4+5</t>
  </si>
  <si>
    <t>11=12+13</t>
  </si>
  <si>
    <t>17=9/1</t>
  </si>
  <si>
    <t>18=10/2</t>
  </si>
  <si>
    <t>19=11/3</t>
  </si>
  <si>
    <t>20=12/4</t>
  </si>
  <si>
    <t>21=13/5</t>
  </si>
  <si>
    <t>22=14/6</t>
  </si>
  <si>
    <t>23=15/7</t>
  </si>
  <si>
    <t>24=16/8</t>
  </si>
  <si>
    <t>Biểu mẫu số 61</t>
  </si>
  <si>
    <t>So sánh</t>
  </si>
  <si>
    <t>Đầu tư phát triển</t>
  </si>
  <si>
    <t>Kinh phí sự nghiệp</t>
  </si>
  <si>
    <t>Chia ra</t>
  </si>
  <si>
    <t>28</t>
  </si>
  <si>
    <t>29</t>
  </si>
  <si>
    <t>30</t>
  </si>
  <si>
    <t>31</t>
  </si>
  <si>
    <t>32</t>
  </si>
  <si>
    <t>33</t>
  </si>
  <si>
    <t>34</t>
  </si>
  <si>
    <t>Biểu mẫu số 48</t>
  </si>
  <si>
    <t>Số TT</t>
  </si>
  <si>
    <t xml:space="preserve">Nội dung </t>
  </si>
  <si>
    <t>Tuyệt đối</t>
  </si>
  <si>
    <t>Tương đối</t>
  </si>
  <si>
    <t>3=2-1</t>
  </si>
  <si>
    <t>4=2/1</t>
  </si>
  <si>
    <t>TỔNG NGUỒN THU NSĐP</t>
  </si>
  <si>
    <t>Thu NSĐP được hưởng theo phân cấp</t>
  </si>
  <si>
    <t>Thu NSĐP hưởng 100%</t>
  </si>
  <si>
    <t>Thu NSĐP hưởng từ các khoản thu phân chia</t>
  </si>
  <si>
    <t>Thu bổ sung từ ngân sách cấp trên</t>
  </si>
  <si>
    <t>Thu bổ sung cân đối ngân sách</t>
  </si>
  <si>
    <t>Thu bổ sung có mục tiêu</t>
  </si>
  <si>
    <t>Thu từ quỹ dự trữ tài chính</t>
  </si>
  <si>
    <t>Thu kết dư</t>
  </si>
  <si>
    <t>Thu chuyển nguồn từ năm trước chuyển sang</t>
  </si>
  <si>
    <t>Tổng chi cân đối NSĐP</t>
  </si>
  <si>
    <t xml:space="preserve">Chi đầu tư phát triển </t>
  </si>
  <si>
    <t xml:space="preserve">Chi trả nợ lãi các khoản do chính quyền địa phương vay </t>
  </si>
  <si>
    <t xml:space="preserve">Chi bổ sung quỹ dự trữ tài chính </t>
  </si>
  <si>
    <t>Chi các chương trình mục tiêu</t>
  </si>
  <si>
    <t>Chi các chương trình mục tiêu, nhiệm vụ</t>
  </si>
  <si>
    <t>Chi nộp ngân sách cấp trên</t>
  </si>
  <si>
    <t>KẾT DƯ NSĐP</t>
  </si>
  <si>
    <t>D</t>
  </si>
  <si>
    <t xml:space="preserve">CHI TRẢ NỢ GỐC CỦA NSĐP </t>
  </si>
  <si>
    <t>Từ nguồn vay để trả nợ gốc</t>
  </si>
  <si>
    <t>Từ nguồn bội thu, tăng thu, tiết kiệm chi, kết dư ngân sách cấp tỉnh</t>
  </si>
  <si>
    <t>E</t>
  </si>
  <si>
    <t xml:space="preserve">TỔNG MỨC VAY CỦA NSĐP </t>
  </si>
  <si>
    <t>Vay để bù đắp bội chi</t>
  </si>
  <si>
    <t>Vay để trả nợ gốc</t>
  </si>
  <si>
    <t>G</t>
  </si>
  <si>
    <t>TỔNG MỨC DƯ NỢ VAY  CUỐI NĂM CỦA NSĐP</t>
  </si>
  <si>
    <r>
      <rPr>
        <i/>
        <sz val="14"/>
        <rFont val="Times New Roman"/>
        <family val="1"/>
      </rPr>
      <t>Ghi chú:</t>
    </r>
    <r>
      <rPr>
        <i/>
        <sz val="12"/>
        <rFont val="Times New Roman"/>
        <family val="1"/>
      </rPr>
      <t>(1) Chi đầu tư phát triển ngân sách cấp tỉnh tăng tương ứng với số bội chi (nếu có); giảm tương ứng với số bội thu và chi trả nợ lãi (nếu có).</t>
    </r>
  </si>
  <si>
    <r>
      <rPr>
        <i/>
        <sz val="14"/>
        <rFont val="Times New Roman"/>
        <family val="1"/>
      </rPr>
      <t xml:space="preserve">      (2)</t>
    </r>
    <r>
      <rPr>
        <i/>
        <sz val="12"/>
        <rFont val="Times New Roman"/>
        <family val="1"/>
      </rPr>
      <t>Theo quy định tại Điều 7, Điều 11 và Điều 39 Luật NSNN, Ngân sách huyện, xã không có nhiệm vụ chi nghiên</t>
    </r>
  </si>
  <si>
    <t xml:space="preserve">        cứu khoa học và công nghệ, trả lãi vay, chi bổ sung quỹ dự trữ tài chính, bội chi NSĐP, vay và trả nợ gốc vay.</t>
  </si>
  <si>
    <t xml:space="preserve">      - Ngân sách xã không có nhiệm vụ chi bổ sung cho ngân sách cấp dưới.</t>
  </si>
  <si>
    <t>Thu viện trợ</t>
  </si>
  <si>
    <t>Biểu mẫu số 50</t>
  </si>
  <si>
    <t>Tổng thu NSNN</t>
  </si>
  <si>
    <t xml:space="preserve">Thu </t>
  </si>
  <si>
    <t>5=3/1</t>
  </si>
  <si>
    <t>6=4/2</t>
  </si>
  <si>
    <t>TỔNG NGUỒN THU NSNN (A+B+C+D)</t>
  </si>
  <si>
    <t>TỔNG THU CÂN ĐỐI NSNN</t>
  </si>
  <si>
    <t>Thu nội địa</t>
  </si>
  <si>
    <t xml:space="preserve">Thu từ khu vực DNNN do trung ương quản lý </t>
  </si>
  <si>
    <t>Thuế giá trị gia tăng</t>
  </si>
  <si>
    <t>Thuế thu nhập doanh nghiệp</t>
  </si>
  <si>
    <t>Thu từ khu vực DNNN do địa phương quản lý</t>
  </si>
  <si>
    <t>Thuế tài nguyên</t>
  </si>
  <si>
    <t xml:space="preserve">Thu từ khu vực doanh nghiệp có vốn đầu tư nước ngoài </t>
  </si>
  <si>
    <t xml:space="preserve">Thu từ khu vực kinh tế ngoài quốc doanh </t>
  </si>
  <si>
    <t>Thuế tiêu thụ đặc biệt hàng nội địa</t>
  </si>
  <si>
    <t>Thuế thu nhập cá nhân</t>
  </si>
  <si>
    <t>Lệ phí trước bạ</t>
  </si>
  <si>
    <t xml:space="preserve">Thu phí, lệ phí </t>
  </si>
  <si>
    <t xml:space="preserve"> Phí và lệ phí trung ương</t>
  </si>
  <si>
    <t>Thuế sử dụng đất phi nông nghiệp</t>
  </si>
  <si>
    <t>Tiền cho thuê đất, thuê mặt nước</t>
  </si>
  <si>
    <t>Thu tiền sử dụng đất</t>
  </si>
  <si>
    <t>Thu tiền cấp quyền khai thác khoáng sản</t>
  </si>
  <si>
    <t>Thu khác ngân sách</t>
  </si>
  <si>
    <t>Thu tiền phạt</t>
  </si>
  <si>
    <t>Trong đó:</t>
  </si>
  <si>
    <t>+ Phạt VPHC trong lĩnh vực ATGT</t>
  </si>
  <si>
    <t>+ Phạt VPHC do ngành thuế thực hiện</t>
  </si>
  <si>
    <t>Thu tịch thu</t>
  </si>
  <si>
    <t>Thu hồi các khoản chi năm trước</t>
  </si>
  <si>
    <t>Thu tiền cho thuê, bán tài sản khác</t>
  </si>
  <si>
    <t>Thu khác còn lại</t>
  </si>
  <si>
    <t>Thu từ dầu thô</t>
  </si>
  <si>
    <t>Thu từ hoạt động xuất nhập khẩu</t>
  </si>
  <si>
    <t>Thuế xuất khẩu</t>
  </si>
  <si>
    <t>Thuế nhập khẩu</t>
  </si>
  <si>
    <t>Thuế tiêu thụ đặc biệt thu từ hàng hóa nhập khẩu</t>
  </si>
  <si>
    <t>Thuế  bảo vệ môi trường thu từ hàng hóa nhập khẩu</t>
  </si>
  <si>
    <t>Thuế giá trị gia tăng thu từ hàng hóa nhập khẩu</t>
  </si>
  <si>
    <t>Thu khác</t>
  </si>
  <si>
    <t>THU TỪ QUỸ DỰ TRỮ TÀI CHÍNH</t>
  </si>
  <si>
    <t>THU KẾT DƯ NĂM TRƯỚC</t>
  </si>
  <si>
    <t>THU CHUYỂN NGUỒN TỪ NĂM TRƯỚC CHUYỂN SANG</t>
  </si>
  <si>
    <r>
      <rPr>
        <b/>
        <i/>
        <sz val="14"/>
        <rFont val="Times New Roman"/>
        <family val="1"/>
      </rPr>
      <t>Ghi chú</t>
    </r>
    <r>
      <rPr>
        <i/>
        <sz val="14"/>
        <rFont val="Times New Roman"/>
        <family val="1"/>
      </rPr>
      <t>:</t>
    </r>
  </si>
  <si>
    <t xml:space="preserve">(1) Doanh nghiệp nhà nước do trung ương quản lý là doanh nghiệp do bộ, cơ quan ngang bộ, cơ quan thuộc Chính phủ, </t>
  </si>
  <si>
    <t>cơ quan khác ở trung ương đại diện Nhà nước chủ sở hữu 100% vốn điều lệ.</t>
  </si>
  <si>
    <t>(2) Doanh nghiệp nhà nước do địa phương quản lý là doanh nghiệp do Ủy ban nhân dân cấp tỉnh đại diện Nhà nước chủ sở hữu 100% vốn điều lệ.</t>
  </si>
  <si>
    <t xml:space="preserve">(3) Doanh nghiệp có vốn đầu tư nước ngoài là các doanh nghiệp mà phần vốn do tổ chức, cá nhân nước ngoài sở hữu từ 51% vốn điều lệ trở lên </t>
  </si>
  <si>
    <t xml:space="preserve">   hoặc có đa số thành viên hợp danh là cá nhân nước ngoài đối với tổ chức kinh tế là công ty hợp danh.</t>
  </si>
  <si>
    <t>(4) Doanh nghiệp khu vực kinh tế ngoài quốc doanh là các doanh nghiệp thành lập theo Luật doanh nghiệp, Luật các tổ chức tín dụng,</t>
  </si>
  <si>
    <t xml:space="preserve">  trừ các doanh nghiệp nhà nước do trung ương, địa phương quản lý, doanh nghiệp có vốn đầu tư nước ngoài nêu trên.</t>
  </si>
  <si>
    <t>(5) Thu ngân sách nhà nước trên địa bàn, thu ngân sách địa phương cấp huyện, xã không có thu từ cổ tức,</t>
  </si>
  <si>
    <t>lợi nhuận được chia của Nhà nước và lợi nhuận sau thuế còn lại sau khi trích lập các quỹ của doanh nghiệp nhà nước, chênh lệch thu, chi Ngân hàng Nhà nước,</t>
  </si>
  <si>
    <t xml:space="preserve"> thu từ dầu thô, thu từ hoạt động xuất, nhập khẩu. Thu chênh lệch thu, chi Ngân hàng Nhà nước chỉ áp dụng đối với thành phố Hà Nội.</t>
  </si>
  <si>
    <t>Thị trấn Đắk Glei</t>
  </si>
  <si>
    <t>Xã Đắk Plô</t>
  </si>
  <si>
    <t>Xã Đắk Man</t>
  </si>
  <si>
    <t>Xã Đắk Nhoong</t>
  </si>
  <si>
    <t>Xã Đắk Pék</t>
  </si>
  <si>
    <t>Xã Đắk Choong</t>
  </si>
  <si>
    <t>Xã Xốp</t>
  </si>
  <si>
    <t>Xã Mường Hoong</t>
  </si>
  <si>
    <t>Xã Ngọc Linh</t>
  </si>
  <si>
    <t>Xã Đắk Long</t>
  </si>
  <si>
    <t>Xã Đắk Môn</t>
  </si>
  <si>
    <t>Thuế sử dụng đất nông nghiệp</t>
  </si>
  <si>
    <t>Chi bổ sung quỹ dự trữ tài chính</t>
  </si>
  <si>
    <t>Mẫu biểu số 52</t>
  </si>
  <si>
    <t>Chi bổ sung cân đối cho ngân sách cấp dưới</t>
  </si>
  <si>
    <t>Chi ngân sách cấp huyện theo lĩnh vực</t>
  </si>
  <si>
    <t>Chương trình MTQG giảm nghèo bền vững</t>
  </si>
  <si>
    <t>Chương trình MTQG xây dựng nông thôn mới</t>
  </si>
  <si>
    <t>CHI NỘP NGÂN SÁCH CẤP TRÊN</t>
  </si>
  <si>
    <t>Tương đối (%)</t>
  </si>
  <si>
    <t>So sánh QT/DT</t>
  </si>
  <si>
    <t>NSĐP</t>
  </si>
  <si>
    <t>Chi đầu tư từ nguồn thu tiền sử dụng đất</t>
  </si>
  <si>
    <t>Ban QLDA Đầu tư xây dựng huyện</t>
  </si>
  <si>
    <t>Trung tâm Văn hóa - Thể thao - Du lịch và Truyền thông</t>
  </si>
  <si>
    <t>Trung tâm Dịch vụ nông nghiệp</t>
  </si>
  <si>
    <t xml:space="preserve">Hội nạn nhân chất độc dacam/Dioxin </t>
  </si>
  <si>
    <t xml:space="preserve">Hội Cựu thanh niên xung phong </t>
  </si>
  <si>
    <t>Hội khuyến học</t>
  </si>
  <si>
    <t>Ban chỉ huy Quân sự huyện</t>
  </si>
  <si>
    <t>Công an huyện</t>
  </si>
  <si>
    <t>Hạt Kiểm lâm</t>
  </si>
  <si>
    <t>Trung tâm Y tế huyện</t>
  </si>
  <si>
    <t>Trường Phổ thông Dân dộc nội trú huyện</t>
  </si>
  <si>
    <t xml:space="preserve">Trường Trung học Phổ thông Lương Thế Vinh </t>
  </si>
  <si>
    <t>Cấp vốn ủy thác qua Ngân hàng Chính sách xã hội</t>
  </si>
  <si>
    <t>35</t>
  </si>
  <si>
    <t>37</t>
  </si>
  <si>
    <t>38</t>
  </si>
  <si>
    <t>39</t>
  </si>
  <si>
    <t>40</t>
  </si>
  <si>
    <t>41</t>
  </si>
  <si>
    <t>42</t>
  </si>
  <si>
    <t>43</t>
  </si>
  <si>
    <t>44</t>
  </si>
  <si>
    <t>45</t>
  </si>
  <si>
    <t>Trung tâm giáo dục nghề nghiệp - GDTX</t>
  </si>
  <si>
    <t>Trường Mầm non xã Mường Hoong</t>
  </si>
  <si>
    <t>Trường Mầm non xã Xốp</t>
  </si>
  <si>
    <t>Trường Mầm non xã Đăk Choong</t>
  </si>
  <si>
    <t>Trường Mầm non xã Đăk Man</t>
  </si>
  <si>
    <t>Trường Mầm non thị trấn Đăk Glei</t>
  </si>
  <si>
    <t>Trường Mầm non xã Đăk Kroong</t>
  </si>
  <si>
    <t>Trường Mầm non xã Ngọc Linh</t>
  </si>
  <si>
    <t>Trường Mầm non xã Đăk Môn</t>
  </si>
  <si>
    <t>Trường Mầm non xã Đăk Nhoong</t>
  </si>
  <si>
    <t>Trường Mầm non xã Đăk Pék</t>
  </si>
  <si>
    <t>Trường Mầm non xã Đăk Long</t>
  </si>
  <si>
    <t>Trường Tiểu học Kim Đồng</t>
  </si>
  <si>
    <t>Trường Tiểu học xã Đăk Kroong</t>
  </si>
  <si>
    <t>Trường PTDTBT-TH xã Đăk Choong</t>
  </si>
  <si>
    <t>Trường Tiểu học Võ Thị Sáu</t>
  </si>
  <si>
    <t>Trường Tiểu học xã Đăk Long</t>
  </si>
  <si>
    <t>Trường Tiểu học xã Đăk Môn</t>
  </si>
  <si>
    <t>Trường Tiểu học thị trấn Đăk Glei</t>
  </si>
  <si>
    <t>Trường Tiểu học và THCS Lý Tự Trọng</t>
  </si>
  <si>
    <t>Trường THCS thị trấn Đăk Glei</t>
  </si>
  <si>
    <t>Trường THCS xã Đăk Kroong</t>
  </si>
  <si>
    <t>Trường THCS xã Đăk Môn</t>
  </si>
  <si>
    <t>Trường PTDTBT-THCS xã Đăk Long</t>
  </si>
  <si>
    <t>Trung tâm HTCĐ thị trấn Đăk Glei</t>
  </si>
  <si>
    <t>Trung tâm HTCĐ xã Đăk Kroong</t>
  </si>
  <si>
    <t>Trung tâm HTCĐ xã Đăk Môn</t>
  </si>
  <si>
    <t>Trung tâm HTCĐ xã Đăk Long</t>
  </si>
  <si>
    <t>Trung tâm HTCĐ xã Đăk Nhoong</t>
  </si>
  <si>
    <t>Trung tâm HTCĐ xã Đăk Man</t>
  </si>
  <si>
    <t>Trung tâm HTCĐ xã Đăk Blô</t>
  </si>
  <si>
    <t>Trung tâm HTCĐ xã Đăk Choong</t>
  </si>
  <si>
    <t>Trung tâm HTCĐ xã Xốp</t>
  </si>
  <si>
    <t>Trung tâm HTCĐ xã Mường Hoong</t>
  </si>
  <si>
    <t>Trung tâm HTCĐ xã Ngọc Linh</t>
  </si>
  <si>
    <t>46</t>
  </si>
  <si>
    <t>47</t>
  </si>
  <si>
    <t>48</t>
  </si>
  <si>
    <t>49</t>
  </si>
  <si>
    <t>50</t>
  </si>
  <si>
    <t>51</t>
  </si>
  <si>
    <t>52</t>
  </si>
  <si>
    <t>53</t>
  </si>
  <si>
    <t>54</t>
  </si>
  <si>
    <t>56</t>
  </si>
  <si>
    <t>57</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</si>
  <si>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</si>
  <si>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</si>
  <si>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</si>
  <si>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</si>
  <si>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</si>
  <si>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</si>
  <si>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</si>
  <si>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</si>
  <si>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</si>
  <si>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</si>
  <si>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</si>
  <si>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</si>
  <si>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</si>
  <si>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</si>
  <si>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</si>
  <si>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</si>
  <si>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</si>
  <si>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</si>
  <si>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</si>
  <si>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</si>
  <si>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</si>
  <si>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</si>
  <si>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</si>
  <si>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</si>
  <si>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</si>
  <si>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</si>
  <si>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</si>
  <si>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</si>
  <si>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</si>
  <si>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</si>
  <si>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</si>
  <si>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</si>
  <si>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Trường Mầm non xã Đăk Plô</t>
  </si>
  <si>
    <t>Thị trấn Đăk Glei</t>
  </si>
  <si>
    <t>Xã Đăk Kroong</t>
  </si>
  <si>
    <t>Xã Đăk Môn</t>
  </si>
  <si>
    <t>Xã Đăk Long</t>
  </si>
  <si>
    <t>Xã Đăk Nhoong</t>
  </si>
  <si>
    <t>Xã Đăk Man</t>
  </si>
  <si>
    <t>Xã Đăk Choong</t>
  </si>
  <si>
    <t>91</t>
  </si>
  <si>
    <t>92</t>
  </si>
  <si>
    <t>93</t>
  </si>
  <si>
    <t>94</t>
  </si>
  <si>
    <t>95</t>
  </si>
  <si>
    <t>96</t>
  </si>
  <si>
    <t>97</t>
  </si>
  <si>
    <t>Ban Tiếp công dân</t>
  </si>
  <si>
    <t>DỰ PHÒNG NGÂN SÁCH</t>
  </si>
  <si>
    <t>CHI TẠO NGUỒN, ĐIỀU CHỈNH TIỀN LƯƠNG</t>
  </si>
  <si>
    <t>Xã Đăk Pék</t>
  </si>
  <si>
    <t>Chi chuyển nguồn sang NS năm sau</t>
  </si>
  <si>
    <t>ĐỊA PHƯƠNG</t>
  </si>
  <si>
    <t>Xã Đắk Kroong</t>
  </si>
  <si>
    <t>Dự toán (1)</t>
  </si>
  <si>
    <t>Biểu mẫu số 51</t>
  </si>
  <si>
    <t>Chi CT MTQG</t>
  </si>
  <si>
    <t>1=2+3</t>
  </si>
  <si>
    <t>4=5+6</t>
  </si>
  <si>
    <t>7=4/1</t>
  </si>
  <si>
    <t>8=5/2</t>
  </si>
  <si>
    <t>9=6/3</t>
  </si>
  <si>
    <t>3=2/1</t>
  </si>
  <si>
    <t>Huyện Đoàn Thanh niên CSHCM</t>
  </si>
  <si>
    <t>Văn phòng HĐND và UBND huyện</t>
  </si>
  <si>
    <t>Chuyển nguồn từ năm trước sang</t>
  </si>
  <si>
    <t>Tiền cho thuê và tiền bán nhà thuộc sở hữu nhà nước</t>
  </si>
  <si>
    <t>*</t>
  </si>
  <si>
    <t>Vốn NN</t>
  </si>
  <si>
    <t>Trường THCS xã Đăk Pék</t>
  </si>
  <si>
    <t>Trường Tiểu học-THCS xã Đăk Nhoong</t>
  </si>
  <si>
    <t>Trường Tiểu học-THCS xã Đăk Man</t>
  </si>
  <si>
    <t>Trường Tiểu học-THCS xã Xốp</t>
  </si>
  <si>
    <t>Xã Đăk Plô</t>
  </si>
  <si>
    <t>36</t>
  </si>
  <si>
    <t>55</t>
  </si>
  <si>
    <t>58</t>
  </si>
  <si>
    <t>So sánh (*)</t>
  </si>
  <si>
    <t>Ghi chú: (*) Số quyết toán tăng so với số dự toán giao đầu năm do trong năm được cấp có thẩm quyền giao bổ sung dự toán, nguồn năm trước chuyển sang, nguồn tăng thu NSĐP, nguồn kết dư ngân sách, ....</t>
  </si>
  <si>
    <t>+ Thuê tài nguyên nước</t>
  </si>
  <si>
    <t>+ Thuê tài nguyên khác</t>
  </si>
  <si>
    <t>+ Thuê tài nguyên rừng</t>
  </si>
  <si>
    <t>(*) bao gồm ngân sách cấp huyện và ngân sách cấp xã; Dự toán do Hội đồng nhân dân huyện quyết định</t>
  </si>
  <si>
    <t>Tòa án nhân dân huyện Đăk Glei</t>
  </si>
  <si>
    <t>Trường Tiểu học - THCS xã Đăk Plô</t>
  </si>
  <si>
    <t>Trung tâm HTCĐ xã Đăk Pék</t>
  </si>
  <si>
    <t>Chi Dự phòng, chi bổ sung cho ngân sách xã</t>
  </si>
  <si>
    <t>Ghi chú: (*) Số quyết toán tăng so với số dự toán giao đầu năm do trong năm được cấp có thẩm quyền giao bổ sung dự toán, nguồn năm trước chuyển sang, nguồn tăng thu NSĐP,  ....</t>
  </si>
  <si>
    <t>Trong đó: Chia theo nguồn vốn</t>
  </si>
  <si>
    <t>Trong đó: Chia theo lĩnh vực</t>
  </si>
  <si>
    <t>II.1</t>
  </si>
  <si>
    <t>Mục tiêu, nhiệm vụ vốn đầu tư</t>
  </si>
  <si>
    <t>II.2</t>
  </si>
  <si>
    <t>Mục tiêu, nhiệm vụ vốn sự nghiệp</t>
  </si>
  <si>
    <t>Vốn đầu tư</t>
  </si>
  <si>
    <t>Vốn sự nghiệp</t>
  </si>
  <si>
    <t>Phân cấp hỗ trợ nông thôn mới (ưu tiên giáo dục và đào tạo)</t>
  </si>
  <si>
    <t>Nguồn xổ số kiến thiết</t>
  </si>
  <si>
    <t>Nguồn phân cấp hỗ trợ đầu tư các công trình cấp bách</t>
  </si>
  <si>
    <t>Nguồn tăng thu, tiết kiệm chi ngân sách tỉnh bổ sung</t>
  </si>
  <si>
    <t>Chi đầu tư và hỗ trợ vốn cho các doanh nghiệp cung cấp sản phẩm, dịch vụ công ích do Nhà nước đặt hàng, các tổ chức kinh tế, các tổ chức tài chính của địa phương theo quy định của pháp luật</t>
  </si>
  <si>
    <t>Bổ sung kinh phí thực hiện nhiệm vụ đảm bảo trật tự an toàn giao thông</t>
  </si>
  <si>
    <t>Chi Y tế, dân số và gia đình</t>
  </si>
  <si>
    <t>Chi bổ sung cho ngân sách cấp dưỡi, chi nộp ngân sách cấp trên</t>
  </si>
  <si>
    <t>CHI BỔ SUNG CÓ MỤC TIÊU CHO NGÂN SÁCH CẤP DƯỚI</t>
  </si>
  <si>
    <r>
      <t xml:space="preserve">Thu NSĐP </t>
    </r>
    <r>
      <rPr>
        <b/>
        <vertAlign val="superscript"/>
        <sz val="14"/>
        <rFont val="Times New Roman"/>
        <family val="1"/>
      </rPr>
      <t xml:space="preserve">(*) </t>
    </r>
  </si>
  <si>
    <t>CHI CHUYỂN NGUỒN SANG NGÂN SÁCH NĂM SAU (**)</t>
  </si>
  <si>
    <t>Thu tư giấy phép do Trung ương cấp</t>
  </si>
  <si>
    <t>Thu từ giấy phép do Ủy ban nhân dân cấp tỉnh cấp</t>
  </si>
  <si>
    <t>Đơn vị: Triệu đồng</t>
  </si>
  <si>
    <t>Thu từ tài sản được xác lập quyền sở hữu của nhà nước</t>
  </si>
  <si>
    <r>
      <rPr>
        <b/>
        <i/>
        <sz val="14"/>
        <rFont val="Times New Roman"/>
        <family val="1"/>
      </rPr>
      <t>Ghi chú</t>
    </r>
    <r>
      <rPr>
        <i/>
        <sz val="14"/>
        <rFont val="Times New Roman"/>
        <family val="1"/>
      </rPr>
      <t>: (1)</t>
    </r>
    <r>
      <rPr>
        <i/>
        <sz val="12"/>
        <rFont val="Times New Roman"/>
        <family val="1"/>
      </rPr>
      <t>Theo quy định tại Điều 7, Điều 11 và Điều 39 Luật NSNN, ngân sách huyện, xã không có nhiệm vụ chi nghiên cứu khoa học và công nghệ, trả lãi vay, chi bổ sung quỹ dự trữ tài chính, bội chi NSĐP, vay và trả nợ gốc vay.</t>
    </r>
  </si>
  <si>
    <t>(**) Số quyết toán tăng so với số dự toán giao đầu năm do trong năm được cấp có thẩm quyền giao bổ sung dự toán, nguồn năm trước chuyển sang, nguồn tăng thu NSĐP, nguồn kết dư ngân sách, ....</t>
  </si>
  <si>
    <t>Ghi chú:</t>
  </si>
  <si>
    <t>Chương trình MTQG phát triển kinh tế - xã hội vùng đồng bào DTTS và miền núi</t>
  </si>
  <si>
    <t>Chi Giáo dục - đào tạo và dạy nghề</t>
  </si>
  <si>
    <t>Chi Khoa học và công nghệ</t>
  </si>
  <si>
    <t>Chi Văn hóa thông tin</t>
  </si>
  <si>
    <t>Chi Phát thanh, truyền hình, thông tấn</t>
  </si>
  <si>
    <t>Chi Thể dục thể thao</t>
  </si>
  <si>
    <t>Chi Bảo vệ môi trường</t>
  </si>
  <si>
    <t>Chi hoạt động của các cơ quan quản lý nhà nước, đảng, đoàn thể</t>
  </si>
  <si>
    <t>Chi Bảo đảm xã hội</t>
  </si>
  <si>
    <t>Chi ngành, lĩnh vực khác</t>
  </si>
  <si>
    <t>Chi khác</t>
  </si>
  <si>
    <t xml:space="preserve">Dự toán </t>
  </si>
  <si>
    <t xml:space="preserve">Quyết toán </t>
  </si>
  <si>
    <t>Đơn vị : Triệu đồng</t>
  </si>
  <si>
    <t>Chương trình MTQG phát triển kinh tế-xã hội vùng đồng bào DTTS và miền núi</t>
  </si>
  <si>
    <t xml:space="preserve">Nguồn thu tiền sử dụng đất theo dự toán trung ương giao chi thực hiện công tác quy hoạch, đo đạc, đăng ký quản lý đất đai, cấp giấy chứng nhận, xây dựng cơ sở, đăng ký biến động, chỉnh lý hồ sơ địa chính và lập quy hoạch, kế hoạch sử dụng đất </t>
  </si>
  <si>
    <t>Nguồn ngân sách Trung ương</t>
  </si>
  <si>
    <t>Nguồn ngân sách tỉnh</t>
  </si>
  <si>
    <t>Kinh phí trang bị các bộ cồng chiêng, trống cho các thôn, làng đồng bào dân tộc thiểu số không có cồng chiêng trên địa bàn huyện</t>
  </si>
  <si>
    <t xml:space="preserve">KP chi trả phụ cấp hằng tháng cho chức danh Đội trưởng, Đội phó Đội dân phòng năm 2022 theo Nghị quyết số 31/2022/NQ-HĐND ngày 12/7/2022 của HĐND tỉnh </t>
  </si>
  <si>
    <t>Chi cục Thuế huyện</t>
  </si>
  <si>
    <t>Liên đoàn lao động huyện</t>
  </si>
  <si>
    <t>Trung tâm Chính trị</t>
  </si>
  <si>
    <t>Trường PTDTBT TH-THCS xã Ngọc Linh</t>
  </si>
  <si>
    <t>Trường PTDTBT TH -THCS xã Mường Hoong</t>
  </si>
  <si>
    <t>Hội Nông dân huyện (bao gồm Quỹ hỗ trợ nông dân)</t>
  </si>
  <si>
    <t xml:space="preserve">                 (**) Các nội dung chuyển nguồn tập trung, chuyển nguồn tăng thu và các nguồn khác chưa phân bổ chi tiết.</t>
  </si>
  <si>
    <t xml:space="preserve">Tên đơn vị </t>
  </si>
  <si>
    <t>Đơn vị:Triệu đồng</t>
  </si>
  <si>
    <t>Chương trình MTQG Giảm nghèo bền vững giai đoạn 2021-2025</t>
  </si>
  <si>
    <t>Chương trình MTQG Xây dựng nông thôn mới giai đoạn 2021 - 2025</t>
  </si>
  <si>
    <t>Chương trình MTQG phát triển kinh tế-xã hội vùng đồng bào DTTS và miền núi giai đoạn 2021 - 2025</t>
  </si>
  <si>
    <t>Ban QLDA đầu tư xây dựng</t>
  </si>
  <si>
    <t>UBND thị trấn Đăk Glei</t>
  </si>
  <si>
    <t>UBND xã Đăk Pék</t>
  </si>
  <si>
    <t>UBND xã Đăk Kroong</t>
  </si>
  <si>
    <t>UBND xã Đăk Môn</t>
  </si>
  <si>
    <t>UBND xã Đăk Long</t>
  </si>
  <si>
    <t>UBND xã Đăk Nhoong</t>
  </si>
  <si>
    <t>UBND xã Đăk Man</t>
  </si>
  <si>
    <t>UBND xã Đăk Plô</t>
  </si>
  <si>
    <t>UBND xã Đăk Choong</t>
  </si>
  <si>
    <t>UBND xã Xốp</t>
  </si>
  <si>
    <t>UBND xã Mường Hoong</t>
  </si>
  <si>
    <t>UBND xã Ngọc Linh</t>
  </si>
  <si>
    <t>Trung tâm Giáo dục nghề nghiệp - GDTX</t>
  </si>
  <si>
    <t>Hội Liên hiệp phụ nữ</t>
  </si>
  <si>
    <t>49=25/1</t>
  </si>
  <si>
    <t>50=26/2</t>
  </si>
  <si>
    <t>51=27/3</t>
  </si>
  <si>
    <t>52=28/4</t>
  </si>
  <si>
    <t>53=29/5</t>
  </si>
  <si>
    <t>54=30/6</t>
  </si>
  <si>
    <t>55=31/7</t>
  </si>
  <si>
    <t>56=32/8</t>
  </si>
  <si>
    <t>57=33/9</t>
  </si>
  <si>
    <t>58=34/10</t>
  </si>
  <si>
    <t>59=35/11</t>
  </si>
  <si>
    <t>60=36/12</t>
  </si>
  <si>
    <t>61=37/13</t>
  </si>
  <si>
    <t>62=38/14</t>
  </si>
  <si>
    <t>63=39/15</t>
  </si>
  <si>
    <t>64=40/16</t>
  </si>
  <si>
    <t>65=41/17</t>
  </si>
  <si>
    <t>66=42/18</t>
  </si>
  <si>
    <t>67=43/19</t>
  </si>
  <si>
    <t>68=44/20</t>
  </si>
  <si>
    <t>69=45/21</t>
  </si>
  <si>
    <t>70=46/22</t>
  </si>
  <si>
    <t>71=46/22</t>
  </si>
  <si>
    <t>72=47/23</t>
  </si>
  <si>
    <t>Phòng Văn hóa và thông tin</t>
  </si>
  <si>
    <t>Chương trình MTQG phát triển KT-XH vùng đồng bào DTTS và miền núi giai đoạn 2021 - 2025</t>
  </si>
  <si>
    <r>
      <t xml:space="preserve">Dự toán </t>
    </r>
    <r>
      <rPr>
        <b/>
        <vertAlign val="superscript"/>
        <sz val="13"/>
        <rFont val="Times New Roman"/>
        <family val="1"/>
      </rPr>
      <t>(*)</t>
    </r>
  </si>
  <si>
    <r>
      <t xml:space="preserve">Quyết toán </t>
    </r>
    <r>
      <rPr>
        <b/>
        <vertAlign val="superscript"/>
        <sz val="13"/>
        <rFont val="Times New Roman"/>
        <family val="1"/>
      </rPr>
      <t>(**)</t>
    </r>
  </si>
  <si>
    <t>17=5/1</t>
  </si>
  <si>
    <t>18=6/2</t>
  </si>
  <si>
    <t>19=9/3</t>
  </si>
  <si>
    <t>QUYẾT TOÁN CÂN ĐỐI NGÂN SÁCH ĐỊA PHƯƠNG NĂM 2023</t>
  </si>
  <si>
    <t>(Kèm theo Nghị quyết số:         /NQ-HĐND ngày       tháng      năm 2024 của HĐND huyện Đăk Glei)</t>
  </si>
  <si>
    <t>QUYẾT TOÁN NGUỒN THU NGÂN SÁCH NHÀ NƯỚC TRÊN ĐỊA BÀN THEO LĨNH VỰC NĂM 2023</t>
  </si>
  <si>
    <t>(Kèm theo Nghị quyết số:         /NQ-HĐND ngày       tháng      năm 2024 của Hội đồng nhân dân huyện Đăk Glei)</t>
  </si>
  <si>
    <t xml:space="preserve"> Phí và lệ phí địa phương</t>
  </si>
  <si>
    <t>+ Thu phí, lệ phí tỉnh</t>
  </si>
  <si>
    <t>+ Thu phí, lệ phí huyện</t>
  </si>
  <si>
    <t>+ Thu phí, lệ phí xã</t>
  </si>
  <si>
    <t>Trong đó: Phí bảo vệ môi trường đối với nước thải</t>
  </si>
  <si>
    <r>
      <t xml:space="preserve">Thu NSĐP
</t>
    </r>
    <r>
      <rPr>
        <sz val="14"/>
        <rFont val="Times New Roman"/>
        <family val="1"/>
      </rPr>
      <t>(*)</t>
    </r>
    <r>
      <rPr>
        <vertAlign val="superscript"/>
        <sz val="14"/>
        <rFont val="Times New Roman"/>
        <family val="1"/>
      </rPr>
      <t xml:space="preserve"> </t>
    </r>
  </si>
  <si>
    <t>QUYẾT TOÁN CHI CHƯƠNG TRÌNH MỤC TIÊU QUỐC GIA NĂM 2023</t>
  </si>
  <si>
    <t>QUYẾT TOÁN CHI NGÂN SÁCH ĐỊA PHƯƠNG THEO LĨNH VỰC NĂM 2023</t>
  </si>
  <si>
    <t>QUYẾT TOÁN CHI NGÂN SÁCH ĐỊA PHƯƠNG, CHI NGÂN SÁCH CẤP HUYỆN VÀ CHI NGÂN SÁCH XÃ THEO CƠ CẤU CHI NĂM 2023</t>
  </si>
  <si>
    <t>Dự toán năm 2023</t>
  </si>
  <si>
    <t>Quyết toán năm 2023</t>
  </si>
  <si>
    <t>QUYẾT TOÁN CHI NGÂN SÁCH CẤP HUYỆN CHO TỪNG CƠ QUAN, TỔ CHỨC THEO LĨNH VỰC NĂM 2023</t>
  </si>
  <si>
    <t>QUYẾT TOÁN CHI BỔ SUNG TỪ NGÂN SÁCH CẤP HUYỆN CHO NGÂN SÁCH TỪNG XÃ NĂM 2023</t>
  </si>
  <si>
    <t>BCH Đoàn huyện Đăk Glei (Huyện đoàn)</t>
  </si>
  <si>
    <t>Ủy ban Mặt trận TQVN huyện</t>
  </si>
  <si>
    <t>Trung tâm Văn hóa - Thể thao - Du lịch và T.Thông</t>
  </si>
  <si>
    <t>QUYẾT TOÁN CHI NGÂN SÁCH ĐỊA PHƯƠNG TỪNG XÃ NĂM 2023</t>
  </si>
  <si>
    <t>Trường Tiểu học-THCS xã Đăk Choong</t>
  </si>
  <si>
    <t>Viện Kiểm sát Nhân dân huyện Đăk Glei</t>
  </si>
  <si>
    <t>Dự toán (*)</t>
  </si>
  <si>
    <t>(*) Dự toán năm 2023 bao gồm điều chỉnh, bổ sung trong năm; Chưa bao gồm dự toán được kéo dài từ các năm trước sang năm 2023 tiếp tục thực hiện</t>
  </si>
  <si>
    <t xml:space="preserve">Kinh phí tổ chức diễn tập khu vực phòng thủ, kết hợp diễn tập phòng thủ dân sự </t>
  </si>
  <si>
    <t>Xây dựng thôn nông thôn mới điểm cấp tỉnh tại thôn Làng Mới, xã Mường Hoong, huyện Đăk Glei, tỉnh Kon Tum</t>
  </si>
  <si>
    <t>Kinh phí hỗ trợ hộ nghèo, hộ cận nghèo đón Tết nguyên Đán Quỹ Mão 2023</t>
  </si>
  <si>
    <t>Quyết toán năm 2023 
(*)</t>
  </si>
  <si>
    <t>Kinh phí tổ chức Đại biểu Hội đồng nhân dân tỉnh tiếp xúc cử tri và Chuyên mục “Diễn đàn cử tri” năm 2023</t>
  </si>
  <si>
    <t>Kinh phí hỗ trợ khắc phục hậu quả thiên tai 10 tháng đầu năm 2022</t>
  </si>
  <si>
    <t>KP hiện công tác quản lý đất đai (Lập kế hoạch sử dụng đất, đo đạc…)</t>
  </si>
  <si>
    <t>Chi các chương trình MTQG (**)</t>
  </si>
  <si>
    <t xml:space="preserve">         (**) Bao gồm nguồn NSĐP (tỉnh bổ sung mục tiêu, cân đối ngân sách huyện) bố trí đối ứng thực hiện các Chương trình mục tiêu quốc gia</t>
  </si>
  <si>
    <t>QUYẾT TOÁN CHI NGÂN SÁCH CẤP HUYỆN THEO LĨNH VỰC NĂM 2023</t>
  </si>
  <si>
    <t>(*) Theo dự toán HĐND huyện quyết định đầu năm 2023 (Bao gồm 03 Chương trình MTQG)</t>
  </si>
  <si>
    <r>
      <t xml:space="preserve">Dự toán 2023 </t>
    </r>
    <r>
      <rPr>
        <b/>
        <vertAlign val="superscript"/>
        <sz val="10"/>
        <rFont val="Times New Roman"/>
        <family val="1"/>
      </rPr>
      <t>(*)</t>
    </r>
  </si>
  <si>
    <r>
      <t xml:space="preserve">Chi đầu tư phát triển
 </t>
    </r>
    <r>
      <rPr>
        <i/>
        <sz val="10"/>
        <rFont val="Times New Roman"/>
        <family val="1"/>
      </rPr>
      <t>(Không kể chương trình MTQG)</t>
    </r>
  </si>
  <si>
    <r>
      <t>Chi thường xuyên</t>
    </r>
    <r>
      <rPr>
        <i/>
        <sz val="10"/>
        <rFont val="Times New Roman"/>
        <family val="1"/>
      </rPr>
      <t xml:space="preserve"> 
(Không kể chương trình MTQG)</t>
    </r>
  </si>
  <si>
    <r>
      <t xml:space="preserve">Chi đầu tư phát triển 
</t>
    </r>
    <r>
      <rPr>
        <i/>
        <sz val="10"/>
        <rFont val="Times New Roman"/>
        <family val="1"/>
      </rPr>
      <t>(Không kể chương trình MTQG)</t>
    </r>
  </si>
  <si>
    <r>
      <t xml:space="preserve">Chi thường xuyên 
</t>
    </r>
    <r>
      <rPr>
        <i/>
        <sz val="10"/>
        <rFont val="Times New Roman"/>
        <family val="1"/>
      </rPr>
      <t>(Không kể chương trình MTQG)</t>
    </r>
  </si>
  <si>
    <r>
      <rPr>
        <b/>
        <i/>
        <sz val="10"/>
        <rFont val="Times New Roman"/>
        <family val="1"/>
      </rPr>
      <t xml:space="preserve">Ghi chú: </t>
    </r>
    <r>
      <rPr>
        <i/>
        <sz val="10"/>
        <rFont val="Times New Roman"/>
        <family val="1"/>
      </rPr>
      <t>(*) Dự toán năm 2023 bao gồm dự toán giao đầu năm và điều chỉnh, bổ sung trong năm.</t>
    </r>
  </si>
  <si>
    <r>
      <rPr>
        <b/>
        <i/>
        <sz val="11"/>
        <color theme="1"/>
        <rFont val="Times New Roman"/>
        <family val="1"/>
      </rPr>
      <t>Ghi chú:</t>
    </r>
    <r>
      <rPr>
        <i/>
        <sz val="11"/>
        <color theme="1"/>
        <rFont val="Times New Roman"/>
        <family val="1"/>
      </rPr>
      <t xml:space="preserve"> (1) Dự toán giao đầu năm, chưa bao gồm chuyển nguồn từ năm 2022 sang và bổ sung trong năm</t>
    </r>
  </si>
  <si>
    <t>(Kèm theo Nghị quyết số:         /NQ-HĐND ngày       /       /2024 của HĐND huyện Đăk Glei)</t>
  </si>
  <si>
    <r>
      <t xml:space="preserve">Dự toán </t>
    </r>
    <r>
      <rPr>
        <b/>
        <vertAlign val="superscript"/>
        <sz val="11"/>
        <color theme="1"/>
        <rFont val="Times New Roman"/>
        <family val="1"/>
      </rPr>
      <t>(*)</t>
    </r>
  </si>
  <si>
    <r>
      <rPr>
        <b/>
        <i/>
        <sz val="11"/>
        <color theme="1"/>
        <rFont val="Times New Roman"/>
        <family val="1"/>
      </rPr>
      <t xml:space="preserve">Ghi chú: </t>
    </r>
    <r>
      <rPr>
        <i/>
        <sz val="11"/>
        <color theme="1"/>
        <rFont val="Times New Roman"/>
        <family val="1"/>
      </rPr>
      <t>(*) Dự toán giao đầu năm, chưa bao gồm chuyển nguồn từ năm 2022 sang và các mục tiêu, nhiệm vụ được bổ sung trong năm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</si>
</sst>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_(* \(#,##0.00\);_(* \-??_);_(@_)"/>
    <numFmt numFmtId="165" formatCode="#,##0.0"/>
    <numFmt numFmtId="166" formatCode="#,##0.0_ ;\-#,##0.0\ "/>
    <numFmt numFmtId="167" formatCode="0.0%"/>
  </numFmts>
  <fonts count="58">
    <font>
      <sz val="11"/>
      <color theme="1"/>
      <name val="Calibri"/>
    </font>
    <font>
      <sz val="11"/>
      <color theme="1"/>
      <name val="Calibri"/>
      <family val="2"/>
      <charset val="163"/>
    </font>
    <font>
      <sz val="12"/>
      <name val=".VnTime"/>
      <family val="2"/>
    </font>
    <font>
      <b/>
      <sz val="14"/>
      <name val="Times New Roman"/>
      <family val="1"/>
    </font>
    <font>
      <b/>
      <sz val="12"/>
      <name val="Times New Roman"/>
      <family val="1"/>
    </font>
    <font>
      <sz val="12"/>
      <name val="Times New Roman"/>
      <family val="1"/>
    </font>
    <font>
      <sz val="12"/>
      <name val=".VnTime"/>
      <family val="2"/>
    </font>
    <font>
      <b/>
      <sz val="15"/>
      <name val="Times New Roman"/>
      <family val="1"/>
    </font>
    <font>
      <sz val="14"/>
      <name val="Times New Roman"/>
      <family val="1"/>
    </font>
    <font>
      <i/>
      <sz val="14"/>
      <name val="Times New Roman"/>
      <family val="1"/>
    </font>
    <font>
      <sz val="13"/>
      <name val="Times New Roman"/>
      <family val="1"/>
    </font>
    <font>
      <b/>
      <sz val="11"/>
      <name val="Times New Roman"/>
      <family val="1"/>
    </font>
    <font>
      <b/>
      <sz val="14"/>
      <name val="Times New Romanh"/>
    </font>
    <font>
      <b/>
      <i/>
      <sz val="14"/>
      <name val="Times New Roman"/>
      <family val="1"/>
    </font>
    <font>
      <i/>
      <sz val="12"/>
      <name val="Times New Roman"/>
      <family val="1"/>
    </font>
    <font>
      <b/>
      <u/>
      <sz val="14"/>
      <name val="Times New Roman"/>
      <family val="1"/>
    </font>
    <font>
      <b/>
      <sz val="13"/>
      <name val="Times New Roman"/>
      <family val="1"/>
    </font>
    <font>
      <b/>
      <sz val="14"/>
      <name val="Times New Roman"/>
      <family val="1"/>
      <charset val="163"/>
    </font>
    <font>
      <sz val="10"/>
      <name val="Arial"/>
      <family val="2"/>
    </font>
    <font>
      <i/>
      <sz val="14"/>
      <name val="Times New Roman"/>
      <family val="1"/>
      <charset val="163"/>
    </font>
    <font>
      <sz val="11"/>
      <color theme="1"/>
      <name val="times new roman"/>
      <family val="2"/>
      <charset val="163"/>
    </font>
    <font>
      <u/>
      <sz val="14"/>
      <name val="Times New Roman"/>
      <family val="1"/>
      <charset val="163"/>
    </font>
    <font>
      <b/>
      <sz val="16"/>
      <name val="Times New Roman"/>
      <family val="1"/>
    </font>
    <font>
      <sz val="8"/>
      <name val="Calibri"/>
      <family val="2"/>
      <charset val="163"/>
    </font>
    <font>
      <i/>
      <sz val="13"/>
      <name val="Times New Roman"/>
      <family val="1"/>
      <charset val="163"/>
    </font>
    <font>
      <u/>
      <sz val="13"/>
      <name val="Times New Roman"/>
      <family val="1"/>
    </font>
    <font>
      <sz val="15"/>
      <name val="Times New Roman"/>
      <family val="1"/>
    </font>
    <font>
      <i/>
      <sz val="13"/>
      <name val="Times New Roman"/>
      <family val="1"/>
    </font>
    <font>
      <b/>
      <i/>
      <sz val="13"/>
      <name val="Times New Roman"/>
      <family val="1"/>
    </font>
    <font>
      <sz val="8"/>
      <name val="Calibri"/>
      <family val="2"/>
    </font>
    <font>
      <u/>
      <sz val="11"/>
      <color theme="1"/>
      <name val="Times New Roman"/>
      <family val="1"/>
    </font>
    <font>
      <b/>
      <sz val="11"/>
      <color theme="1"/>
      <name val="Times New Roman"/>
      <family val="1"/>
    </font>
    <font>
      <sz val="11"/>
      <color theme="1"/>
      <name val="Times New Roman"/>
      <family val="1"/>
    </font>
    <font>
      <i/>
      <sz val="11"/>
      <color theme="1"/>
      <name val="Times New Roman"/>
      <family val="1"/>
    </font>
    <font>
      <i/>
      <sz val="14"/>
      <color theme="1"/>
      <name val="Times New Roman"/>
      <family val="1"/>
    </font>
    <font>
      <b/>
      <sz val="14"/>
      <color theme="1"/>
      <name val="Times New Roman"/>
      <family val="1"/>
    </font>
    <font>
      <u/>
      <sz val="14"/>
      <name val="Times New Roman"/>
      <family val="1"/>
    </font>
    <font>
      <b/>
      <vertAlign val="superscript"/>
      <sz val="14"/>
      <name val="Times New Roman"/>
      <family val="1"/>
    </font>
    <font>
      <b/>
      <vertAlign val="superscript"/>
      <sz val="13"/>
      <name val="Times New Roman"/>
      <family val="1"/>
    </font>
    <font>
      <sz val="9"/>
      <color indexed="81"/>
      <name val="Tahoma"/>
      <family val="2"/>
    </font>
    <font>
      <b/>
      <sz val="9"/>
      <color indexed="81"/>
      <name val="Tahoma"/>
      <family val="2"/>
    </font>
    <font>
      <u/>
      <sz val="11"/>
      <name val="Times New Roman"/>
      <family val="1"/>
    </font>
    <font>
      <sz val="11"/>
      <name val="Times New Roman"/>
      <family val="1"/>
    </font>
    <font>
      <i/>
      <sz val="11"/>
      <name val="Times New Roman"/>
      <family val="1"/>
    </font>
    <font>
      <u/>
      <sz val="10"/>
      <name val="Times New Roman"/>
      <family val="1"/>
    </font>
    <font>
      <b/>
      <sz val="10"/>
      <name val="Times New Roman"/>
      <family val="1"/>
    </font>
    <font>
      <sz val="10"/>
      <name val="Times New Roman"/>
      <family val="1"/>
    </font>
    <font>
      <i/>
      <sz val="10"/>
      <name val="Times New Roman"/>
      <family val="1"/>
    </font>
    <font>
      <u/>
      <sz val="13"/>
      <color theme="1"/>
      <name val="Times New Roman"/>
      <family val="1"/>
    </font>
    <font>
      <sz val="11"/>
      <color theme="1"/>
      <name val="Calibri"/>
      <family val="2"/>
    </font>
    <font>
      <i/>
      <sz val="12"/>
      <color theme="1"/>
      <name val="Times New Roman"/>
      <family val="1"/>
    </font>
    <font>
      <vertAlign val="superscript"/>
      <sz val="14"/>
      <name val="Times New Roman"/>
      <family val="1"/>
    </font>
    <font>
      <b/>
      <vertAlign val="superscript"/>
      <sz val="10"/>
      <name val="Times New Roman"/>
      <family val="1"/>
    </font>
    <font>
      <sz val="10"/>
      <color rgb="FFFF0000"/>
      <name val="Times New Roman"/>
      <family val="1"/>
    </font>
    <font>
      <b/>
      <i/>
      <sz val="10"/>
      <name val="Times New Roman"/>
      <family val="1"/>
    </font>
    <font>
      <b/>
      <i/>
      <sz val="11"/>
      <color theme="1"/>
      <name val="Times New Roman"/>
      <family val="1"/>
    </font>
    <font>
      <b/>
      <vertAlign val="superscript"/>
      <sz val="11"/>
      <color theme="1"/>
      <name val="Times New Roman"/>
      <family val="1"/>
    </font>
    <font>
      <b/>
      <sz val="10"/>
      <color theme="1"/>
      <name val="Times New Roman"/>
      <family val="1"/>
    </font>
  </fonts>
  <fills count="4">
    <fill>
      <patternFill patternType="none"/>
    </fill>
    <fill>
      <patternFill patternType="gray125"/>
    </fill>
    <fill>
      <patternFill patternType="solid">
        <fgColor rgb="FFFFFFFF"/>
      </patternFill>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thin">
        <color indexed="64"/>
      </bottom>
      <diagonal/>
    </border>
    <border>
      <left/>
      <right/>
      <top style="thin">
        <color indexed="64"/>
      </top>
      <bottom/>
      <diagonal/>
    </border>
  </borders>
  <cellStyleXfs count="8">
    <xf numFmtId="0" fontId="0" fillId="0" borderId="0"/>
    <xf numFmtId="0" fontId="1" fillId="0" borderId="0"/>
    <xf numFmtId="0" fontId="2" fillId="0" borderId="0"/>
    <xf numFmtId="0" fontId="6" fillId="0" borderId="0"/>
    <xf numFmtId="43" fontId="6" fillId="0" borderId="0" applyFont="0" applyFill="0" applyBorder="0" applyAlignment="0" applyProtection="0"/>
    <xf numFmtId="164" fontId="18" fillId="0" borderId="0" applyFill="0" applyBorder="0" applyAlignment="0" applyProtection="0"/>
    <xf numFmtId="0" fontId="20" fillId="0" borderId="0"/>
    <xf numFmtId="0" fontId="49" fillId="0" borderId="0"/>
  </cellStyleXfs>
  <cellXfs count="321">
    <xf numFmtId="0" fontId="0" fillId="0" borderId="0" xfId="0"/>
    <xf numFmtId="0" fontId="3" fillId="0" borderId="0" xfId="2" applyFont="1" applyAlignment="1">
      <alignment horizontal="left"/>
    </xf>
    <xf numFmtId="0" fontId="4" fillId="0" borderId="0" xfId="2" applyFont="1" applyAlignment="1">
      <alignment horizontal="left"/>
    </xf>
    <xf numFmtId="0" fontId="5" fillId="0" borderId="0" xfId="2" applyFont="1" applyAlignment="1">
      <alignment horizontal="centerContinuous"/>
    </xf>
    <xf numFmtId="0" fontId="3" fillId="0" borderId="0" xfId="2" applyFont="1" applyAlignment="1">
      <alignment horizontal="centerContinuous"/>
    </xf>
    <xf numFmtId="0" fontId="5" fillId="0" borderId="0" xfId="2" applyFont="1"/>
    <xf numFmtId="0" fontId="3" fillId="0" borderId="0" xfId="2" quotePrefix="1" applyFont="1" applyAlignment="1">
      <alignment horizontal="centerContinuous"/>
    </xf>
    <xf numFmtId="0" fontId="8" fillId="0" borderId="0" xfId="2" applyFont="1"/>
    <xf numFmtId="0" fontId="10" fillId="0" borderId="0" xfId="2" applyFont="1"/>
    <xf numFmtId="0" fontId="3" fillId="0" borderId="1" xfId="2" applyFont="1" applyBorder="1" applyAlignment="1">
      <alignment horizontal="centerContinuous" vertical="center"/>
    </xf>
    <xf numFmtId="0" fontId="11" fillId="0" borderId="1" xfId="2" applyFont="1" applyBorder="1" applyAlignment="1">
      <alignment horizontal="center" vertical="center"/>
    </xf>
    <xf numFmtId="0" fontId="11" fillId="0" borderId="1" xfId="2" quotePrefix="1" applyFont="1" applyBorder="1" applyAlignment="1">
      <alignment horizontal="center" vertical="center"/>
    </xf>
    <xf numFmtId="0" fontId="11" fillId="0" borderId="0" xfId="2" applyFont="1" applyAlignment="1">
      <alignment vertical="center"/>
    </xf>
    <xf numFmtId="0" fontId="8" fillId="0" borderId="0" xfId="2" applyFont="1" applyAlignment="1">
      <alignment vertical="center"/>
    </xf>
    <xf numFmtId="0" fontId="9" fillId="0" borderId="0" xfId="2" applyFont="1" applyAlignment="1">
      <alignment vertical="center"/>
    </xf>
    <xf numFmtId="0" fontId="13" fillId="0" borderId="0" xfId="2" applyFont="1" applyAlignment="1">
      <alignment vertical="center"/>
    </xf>
    <xf numFmtId="0" fontId="5" fillId="0" borderId="0" xfId="2" applyFont="1" applyAlignment="1">
      <alignment vertical="center"/>
    </xf>
    <xf numFmtId="0" fontId="3" fillId="0" borderId="0" xfId="2" applyFont="1" applyAlignment="1">
      <alignment vertical="center"/>
    </xf>
    <xf numFmtId="0" fontId="8" fillId="0" borderId="0" xfId="2" applyFont="1" applyAlignment="1">
      <alignment vertical="center" wrapText="1"/>
    </xf>
    <xf numFmtId="3" fontId="8" fillId="0" borderId="0" xfId="2" applyNumberFormat="1" applyFont="1" applyAlignment="1">
      <alignment vertical="center"/>
    </xf>
    <xf numFmtId="4" fontId="5" fillId="0" borderId="0" xfId="2" applyNumberFormat="1" applyFont="1" applyAlignment="1">
      <alignment vertical="center"/>
    </xf>
    <xf numFmtId="0" fontId="14" fillId="0" borderId="0" xfId="2" applyFont="1"/>
    <xf numFmtId="0" fontId="9" fillId="0" borderId="0" xfId="2" applyFont="1"/>
    <xf numFmtId="0" fontId="9" fillId="0" borderId="0" xfId="2" quotePrefix="1" applyFont="1"/>
    <xf numFmtId="0" fontId="4" fillId="0" borderId="0" xfId="3" applyFont="1" applyAlignment="1">
      <alignment horizontal="centerContinuous"/>
    </xf>
    <xf numFmtId="0" fontId="5" fillId="0" borderId="0" xfId="3" applyFont="1" applyAlignment="1">
      <alignment horizontal="centerContinuous"/>
    </xf>
    <xf numFmtId="0" fontId="3" fillId="0" borderId="0" xfId="3" applyFont="1" applyAlignment="1">
      <alignment horizontal="centerContinuous"/>
    </xf>
    <xf numFmtId="0" fontId="5" fillId="0" borderId="0" xfId="3" applyFont="1"/>
    <xf numFmtId="0" fontId="3" fillId="0" borderId="0" xfId="3" quotePrefix="1" applyFont="1" applyAlignment="1">
      <alignment horizontal="centerContinuous"/>
    </xf>
    <xf numFmtId="0" fontId="9" fillId="0" borderId="0" xfId="3" applyFont="1" applyAlignment="1">
      <alignment horizontal="left"/>
    </xf>
    <xf numFmtId="0" fontId="8" fillId="0" borderId="0" xfId="3" applyFont="1"/>
    <xf numFmtId="0" fontId="9" fillId="0" borderId="0" xfId="3" applyFont="1"/>
    <xf numFmtId="0" fontId="16" fillId="0" borderId="4" xfId="3" applyFont="1" applyBorder="1" applyAlignment="1">
      <alignment horizontal="centerContinuous"/>
    </xf>
    <xf numFmtId="0" fontId="16" fillId="0" borderId="5" xfId="3" applyFont="1" applyBorder="1" applyAlignment="1">
      <alignment horizontal="centerContinuous"/>
    </xf>
    <xf numFmtId="0" fontId="10" fillId="0" borderId="0" xfId="3" applyFont="1"/>
    <xf numFmtId="0" fontId="3" fillId="0" borderId="6" xfId="3" applyFont="1" applyBorder="1" applyAlignment="1">
      <alignment horizontal="centerContinuous"/>
    </xf>
    <xf numFmtId="0" fontId="16" fillId="0" borderId="7" xfId="3" applyFont="1" applyBorder="1" applyAlignment="1">
      <alignment horizontal="center"/>
    </xf>
    <xf numFmtId="0" fontId="16" fillId="0" borderId="8" xfId="3" applyFont="1" applyBorder="1" applyAlignment="1">
      <alignment horizontal="center"/>
    </xf>
    <xf numFmtId="0" fontId="11" fillId="0" borderId="1" xfId="3" applyFont="1" applyBorder="1" applyAlignment="1">
      <alignment horizontal="center" vertical="center"/>
    </xf>
    <xf numFmtId="0" fontId="11" fillId="0" borderId="7" xfId="3" applyFont="1" applyBorder="1" applyAlignment="1">
      <alignment horizontal="center" vertical="center"/>
    </xf>
    <xf numFmtId="0" fontId="11" fillId="0" borderId="9" xfId="3" applyFont="1" applyBorder="1" applyAlignment="1">
      <alignment horizontal="center" vertical="center"/>
    </xf>
    <xf numFmtId="0" fontId="11" fillId="0" borderId="0" xfId="3" applyFont="1" applyAlignment="1">
      <alignment vertical="center"/>
    </xf>
    <xf numFmtId="3" fontId="8" fillId="0" borderId="10" xfId="3" applyNumberFormat="1" applyFont="1" applyBorder="1"/>
    <xf numFmtId="3" fontId="8" fillId="0" borderId="2" xfId="3" applyNumberFormat="1" applyFont="1" applyBorder="1"/>
    <xf numFmtId="3" fontId="15" fillId="0" borderId="11" xfId="3" applyNumberFormat="1" applyFont="1" applyBorder="1"/>
    <xf numFmtId="3" fontId="15" fillId="0" borderId="3" xfId="3" applyNumberFormat="1" applyFont="1" applyBorder="1"/>
    <xf numFmtId="3" fontId="9" fillId="0" borderId="11" xfId="3" applyNumberFormat="1" applyFont="1" applyBorder="1"/>
    <xf numFmtId="3" fontId="9" fillId="0" borderId="12" xfId="3" applyNumberFormat="1" applyFont="1" applyBorder="1"/>
    <xf numFmtId="3" fontId="8" fillId="0" borderId="11" xfId="3" applyNumberFormat="1" applyFont="1" applyBorder="1"/>
    <xf numFmtId="3" fontId="8" fillId="0" borderId="12" xfId="3" applyNumberFormat="1" applyFont="1" applyBorder="1"/>
    <xf numFmtId="0" fontId="9" fillId="0" borderId="0" xfId="2" quotePrefix="1" applyFont="1" applyAlignment="1">
      <alignment horizontal="left"/>
    </xf>
    <xf numFmtId="0" fontId="9" fillId="0" borderId="7" xfId="2" quotePrefix="1" applyFont="1" applyBorder="1"/>
    <xf numFmtId="0" fontId="21" fillId="0" borderId="0" xfId="3" applyFont="1" applyAlignment="1">
      <alignment horizontal="left"/>
    </xf>
    <xf numFmtId="0" fontId="8" fillId="0" borderId="15" xfId="2" applyFont="1" applyBorder="1" applyAlignment="1">
      <alignment vertical="center" wrapText="1"/>
    </xf>
    <xf numFmtId="0" fontId="8" fillId="0" borderId="15" xfId="2" applyFont="1" applyBorder="1" applyAlignment="1">
      <alignment vertical="center"/>
    </xf>
    <xf numFmtId="3" fontId="8" fillId="0" borderId="15" xfId="2" applyNumberFormat="1" applyFont="1" applyBorder="1" applyAlignment="1">
      <alignment vertical="center"/>
    </xf>
    <xf numFmtId="10" fontId="5" fillId="0" borderId="15" xfId="2" applyNumberFormat="1" applyFont="1" applyBorder="1" applyAlignment="1">
      <alignment vertical="center"/>
    </xf>
    <xf numFmtId="0" fontId="10" fillId="0" borderId="0" xfId="0" applyFont="1" applyAlignment="1">
      <alignment vertical="center"/>
    </xf>
    <xf numFmtId="0" fontId="14" fillId="0" borderId="0" xfId="0" applyFont="1" applyAlignment="1">
      <alignment vertical="center"/>
    </xf>
    <xf numFmtId="3" fontId="3" fillId="0" borderId="11" xfId="3" applyNumberFormat="1" applyFont="1" applyBorder="1"/>
    <xf numFmtId="3" fontId="3" fillId="0" borderId="12" xfId="3" applyNumberFormat="1" applyFont="1" applyBorder="1"/>
    <xf numFmtId="0" fontId="3" fillId="0" borderId="0" xfId="3" applyFont="1"/>
    <xf numFmtId="3" fontId="3" fillId="0" borderId="13" xfId="3" applyNumberFormat="1" applyFont="1" applyBorder="1"/>
    <xf numFmtId="0" fontId="10" fillId="0" borderId="0" xfId="1" applyFont="1"/>
    <xf numFmtId="0" fontId="28" fillId="0" borderId="0" xfId="1" applyFont="1"/>
    <xf numFmtId="0" fontId="9" fillId="0" borderId="0" xfId="2" applyFont="1" applyAlignment="1">
      <alignment horizontal="left"/>
    </xf>
    <xf numFmtId="0" fontId="3" fillId="0" borderId="1" xfId="3" applyFont="1" applyBorder="1" applyAlignment="1">
      <alignment horizontal="center" vertical="center" wrapText="1"/>
    </xf>
    <xf numFmtId="0" fontId="30" fillId="0" borderId="0" xfId="1" applyFont="1" applyAlignment="1">
      <alignment vertical="center"/>
    </xf>
    <xf numFmtId="0" fontId="31" fillId="0" borderId="0" xfId="1" applyFont="1" applyAlignment="1">
      <alignment vertical="center"/>
    </xf>
    <xf numFmtId="0" fontId="32" fillId="0" borderId="0" xfId="1" applyFont="1" applyAlignment="1">
      <alignment vertical="center"/>
    </xf>
    <xf numFmtId="0" fontId="31" fillId="0" borderId="0" xfId="1" applyFont="1" applyAlignment="1">
      <alignment vertical="center" wrapText="1"/>
    </xf>
    <xf numFmtId="0" fontId="32" fillId="0" borderId="0" xfId="1" applyFont="1"/>
    <xf numFmtId="0" fontId="31" fillId="0" borderId="0" xfId="1" applyFont="1" applyAlignment="1">
      <alignment vertical="top" wrapText="1"/>
    </xf>
    <xf numFmtId="0" fontId="36" fillId="0" borderId="0" xfId="3" applyFont="1" applyAlignment="1">
      <alignment horizontal="left"/>
    </xf>
    <xf numFmtId="3" fontId="8" fillId="0" borderId="7" xfId="3" applyNumberFormat="1" applyFont="1" applyBorder="1"/>
    <xf numFmtId="3" fontId="8" fillId="0" borderId="8" xfId="3" applyNumberFormat="1" applyFont="1" applyBorder="1"/>
    <xf numFmtId="0" fontId="14" fillId="0" borderId="0" xfId="3" quotePrefix="1" applyFont="1" applyAlignment="1">
      <alignment vertical="center"/>
    </xf>
    <xf numFmtId="0" fontId="14" fillId="0" borderId="0" xfId="3" applyFont="1" applyAlignment="1">
      <alignment vertical="center" wrapText="1"/>
    </xf>
    <xf numFmtId="3" fontId="14" fillId="0" borderId="0" xfId="3" applyNumberFormat="1" applyFont="1" applyAlignment="1">
      <alignment horizontal="right" vertical="center"/>
    </xf>
    <xf numFmtId="4" fontId="14" fillId="0" borderId="0" xfId="3" applyNumberFormat="1" applyFont="1" applyAlignment="1">
      <alignment horizontal="right" vertical="center"/>
    </xf>
    <xf numFmtId="0" fontId="14" fillId="0" borderId="0" xfId="3" applyFont="1"/>
    <xf numFmtId="0" fontId="25" fillId="0" borderId="0" xfId="1" applyFont="1" applyAlignment="1">
      <alignment vertical="top"/>
    </xf>
    <xf numFmtId="0" fontId="10" fillId="0" borderId="0" xfId="1" applyFont="1" applyAlignment="1">
      <alignment vertical="top"/>
    </xf>
    <xf numFmtId="3" fontId="10" fillId="0" borderId="0" xfId="1" applyNumberFormat="1" applyFont="1" applyAlignment="1">
      <alignment vertical="center"/>
    </xf>
    <xf numFmtId="0" fontId="10" fillId="0" borderId="0" xfId="1" applyFont="1" applyAlignment="1">
      <alignment vertical="center"/>
    </xf>
    <xf numFmtId="3" fontId="10" fillId="0" borderId="0" xfId="1" applyNumberFormat="1" applyFont="1"/>
    <xf numFmtId="0" fontId="10" fillId="0" borderId="0" xfId="1" applyFont="1" applyAlignment="1">
      <alignment horizontal="center" vertical="top"/>
    </xf>
    <xf numFmtId="0" fontId="10" fillId="0" borderId="0" xfId="1" applyFont="1" applyAlignment="1">
      <alignment horizontal="center" vertical="top" wrapText="1"/>
    </xf>
    <xf numFmtId="0" fontId="27" fillId="0" borderId="0" xfId="1" applyFont="1" applyAlignment="1">
      <alignment horizontal="right" vertical="top"/>
    </xf>
    <xf numFmtId="0" fontId="16" fillId="2" borderId="1" xfId="1" applyFont="1" applyFill="1" applyBorder="1" applyAlignment="1">
      <alignment horizontal="center" vertical="center" wrapText="1"/>
    </xf>
    <xf numFmtId="3" fontId="16" fillId="0" borderId="0" xfId="1" applyNumberFormat="1" applyFont="1" applyAlignment="1">
      <alignment vertical="center"/>
    </xf>
    <xf numFmtId="0" fontId="16" fillId="0" borderId="0" xfId="1" applyFont="1" applyAlignment="1">
      <alignment vertical="center"/>
    </xf>
    <xf numFmtId="3" fontId="16" fillId="0" borderId="0" xfId="1" applyNumberFormat="1" applyFont="1"/>
    <xf numFmtId="0" fontId="16" fillId="0" borderId="0" xfId="1" applyFont="1"/>
    <xf numFmtId="3" fontId="16" fillId="0" borderId="0" xfId="1" applyNumberFormat="1" applyFont="1" applyAlignment="1">
      <alignment horizontal="center" vertical="center"/>
    </xf>
    <xf numFmtId="3" fontId="16" fillId="0" borderId="0" xfId="1" applyNumberFormat="1" applyFont="1" applyAlignment="1">
      <alignment horizontal="center" vertical="center" wrapText="1"/>
    </xf>
    <xf numFmtId="3" fontId="10" fillId="2" borderId="9" xfId="1" applyNumberFormat="1" applyFont="1" applyFill="1" applyBorder="1" applyAlignment="1">
      <alignment horizontal="right" vertical="center" wrapText="1"/>
    </xf>
    <xf numFmtId="3" fontId="10" fillId="0" borderId="0" xfId="1" applyNumberFormat="1" applyFont="1" applyAlignment="1">
      <alignment horizontal="center" vertical="center"/>
    </xf>
    <xf numFmtId="3" fontId="10" fillId="0" borderId="0" xfId="1" quotePrefix="1" applyNumberFormat="1" applyFont="1" applyAlignment="1">
      <alignment horizontal="center" vertical="center"/>
    </xf>
    <xf numFmtId="0" fontId="27" fillId="0" borderId="0" xfId="1" applyFont="1"/>
    <xf numFmtId="0" fontId="41" fillId="0" borderId="0" xfId="1" applyFont="1" applyAlignment="1">
      <alignment vertical="center"/>
    </xf>
    <xf numFmtId="0" fontId="42" fillId="0" borderId="0" xfId="1" applyFont="1" applyAlignment="1">
      <alignment vertical="center"/>
    </xf>
    <xf numFmtId="0" fontId="11" fillId="0" borderId="0" xfId="1" applyFont="1" applyAlignment="1">
      <alignment vertical="center"/>
    </xf>
    <xf numFmtId="0" fontId="43" fillId="0" borderId="0" xfId="1" applyFont="1" applyAlignment="1">
      <alignment vertical="center"/>
    </xf>
    <xf numFmtId="0" fontId="44" fillId="0" borderId="0" xfId="1" applyFont="1" applyAlignment="1">
      <alignment vertical="center"/>
    </xf>
    <xf numFmtId="0" fontId="45" fillId="0" borderId="0" xfId="1" applyFont="1" applyAlignment="1">
      <alignment vertical="center"/>
    </xf>
    <xf numFmtId="0" fontId="46" fillId="0" borderId="0" xfId="1" applyFont="1" applyAlignment="1">
      <alignment vertical="center"/>
    </xf>
    <xf numFmtId="0" fontId="47" fillId="0" borderId="0" xfId="1" applyFont="1" applyAlignment="1">
      <alignment horizontal="center" vertical="center"/>
    </xf>
    <xf numFmtId="0" fontId="47" fillId="0" borderId="0" xfId="1" applyFont="1" applyAlignment="1">
      <alignment vertical="center"/>
    </xf>
    <xf numFmtId="0" fontId="48" fillId="0" borderId="0" xfId="1" applyFont="1" applyAlignment="1">
      <alignment vertical="top"/>
    </xf>
    <xf numFmtId="3" fontId="8" fillId="0" borderId="13" xfId="3" applyNumberFormat="1" applyFont="1" applyBorder="1"/>
    <xf numFmtId="165" fontId="9" fillId="0" borderId="0" xfId="3" applyNumberFormat="1" applyFont="1"/>
    <xf numFmtId="0" fontId="14" fillId="0" borderId="0" xfId="0" quotePrefix="1" applyFont="1" applyAlignment="1">
      <alignment horizontal="left" vertical="center"/>
    </xf>
    <xf numFmtId="0" fontId="5" fillId="0" borderId="0" xfId="0" applyFont="1" applyAlignment="1">
      <alignment vertical="center"/>
    </xf>
    <xf numFmtId="0" fontId="10" fillId="0" borderId="0" xfId="0" applyFont="1" applyAlignment="1">
      <alignment horizontal="left" vertical="center"/>
    </xf>
    <xf numFmtId="0" fontId="25" fillId="2" borderId="0" xfId="7" applyFont="1" applyFill="1" applyAlignment="1">
      <alignment horizontal="left" vertical="center"/>
    </xf>
    <xf numFmtId="0" fontId="16" fillId="2" borderId="0" xfId="7" applyFont="1" applyFill="1" applyAlignment="1">
      <alignment vertical="center" wrapText="1"/>
    </xf>
    <xf numFmtId="0" fontId="10" fillId="0" borderId="0" xfId="7" applyFont="1" applyAlignment="1">
      <alignment vertical="center"/>
    </xf>
    <xf numFmtId="0" fontId="16" fillId="2" borderId="0" xfId="7" applyFont="1" applyFill="1" applyAlignment="1">
      <alignment vertical="center"/>
    </xf>
    <xf numFmtId="0" fontId="10" fillId="0" borderId="0" xfId="7" applyFont="1" applyAlignment="1">
      <alignment horizontal="center" vertical="center" wrapText="1"/>
    </xf>
    <xf numFmtId="0" fontId="26" fillId="0" borderId="0" xfId="7" applyFont="1" applyAlignment="1">
      <alignment vertical="center"/>
    </xf>
    <xf numFmtId="0" fontId="16" fillId="2" borderId="1" xfId="7" applyFont="1" applyFill="1" applyBorder="1" applyAlignment="1">
      <alignment horizontal="center" vertical="center" wrapText="1"/>
    </xf>
    <xf numFmtId="0" fontId="16" fillId="0" borderId="0" xfId="7" applyFont="1" applyAlignment="1">
      <alignment vertical="center"/>
    </xf>
    <xf numFmtId="0" fontId="27" fillId="0" borderId="0" xfId="7" applyFont="1" applyAlignment="1">
      <alignment vertical="center"/>
    </xf>
    <xf numFmtId="37" fontId="16" fillId="0" borderId="0" xfId="7" applyNumberFormat="1" applyFont="1" applyAlignment="1">
      <alignment vertical="center"/>
    </xf>
    <xf numFmtId="3" fontId="16" fillId="0" borderId="0" xfId="1" applyNumberFormat="1" applyFont="1" applyAlignment="1">
      <alignment horizontal="right" vertical="center"/>
    </xf>
    <xf numFmtId="165" fontId="16" fillId="0" borderId="0" xfId="7" applyNumberFormat="1" applyFont="1" applyAlignment="1">
      <alignment vertical="center"/>
    </xf>
    <xf numFmtId="0" fontId="33" fillId="0" borderId="0" xfId="1" applyFont="1" applyAlignment="1">
      <alignment vertical="center" wrapText="1"/>
    </xf>
    <xf numFmtId="165" fontId="16" fillId="0" borderId="0" xfId="1" applyNumberFormat="1" applyFont="1"/>
    <xf numFmtId="0" fontId="9" fillId="0" borderId="0" xfId="1" applyFont="1" applyAlignment="1">
      <alignment horizontal="center" vertical="center"/>
    </xf>
    <xf numFmtId="0" fontId="3" fillId="0" borderId="0" xfId="1" applyFont="1" applyAlignment="1">
      <alignment horizontal="center" vertical="center"/>
    </xf>
    <xf numFmtId="0" fontId="3" fillId="0" borderId="0" xfId="1" applyFont="1" applyAlignment="1">
      <alignment vertical="center"/>
    </xf>
    <xf numFmtId="0" fontId="8" fillId="0" borderId="0" xfId="1" applyFont="1" applyAlignment="1">
      <alignment vertical="center"/>
    </xf>
    <xf numFmtId="0" fontId="3" fillId="0" borderId="1" xfId="2" applyFont="1" applyBorder="1" applyAlignment="1">
      <alignment horizontal="center" vertical="center" wrapText="1"/>
    </xf>
    <xf numFmtId="0" fontId="3" fillId="0" borderId="1" xfId="2" applyFont="1" applyBorder="1" applyAlignment="1">
      <alignment horizontal="center" vertical="center"/>
    </xf>
    <xf numFmtId="0" fontId="46" fillId="2" borderId="0" xfId="1" quotePrefix="1" applyFont="1" applyFill="1" applyAlignment="1">
      <alignment horizontal="center" vertical="center" wrapText="1"/>
    </xf>
    <xf numFmtId="0" fontId="46" fillId="2" borderId="0" xfId="1" applyFont="1" applyFill="1" applyAlignment="1">
      <alignment horizontal="left" vertical="center" wrapText="1"/>
    </xf>
    <xf numFmtId="3" fontId="46" fillId="2" borderId="0" xfId="1" applyNumberFormat="1" applyFont="1" applyFill="1" applyAlignment="1">
      <alignment horizontal="right" vertical="center" wrapText="1"/>
    </xf>
    <xf numFmtId="0" fontId="46" fillId="2" borderId="0" xfId="1" applyFont="1" applyFill="1" applyAlignment="1">
      <alignment horizontal="center" vertical="center"/>
    </xf>
    <xf numFmtId="0" fontId="46" fillId="2" borderId="0" xfId="1" applyFont="1" applyFill="1" applyAlignment="1">
      <alignment horizontal="left" vertical="center"/>
    </xf>
    <xf numFmtId="3" fontId="46" fillId="2" borderId="0" xfId="1" applyNumberFormat="1" applyFont="1" applyFill="1" applyAlignment="1">
      <alignment horizontal="right" vertical="center"/>
    </xf>
    <xf numFmtId="3" fontId="42" fillId="0" borderId="0" xfId="1" applyNumberFormat="1" applyFont="1" applyAlignment="1">
      <alignment vertical="center"/>
    </xf>
    <xf numFmtId="0" fontId="32" fillId="0" borderId="0" xfId="1" applyFont="1" applyAlignment="1">
      <alignment horizontal="left" vertical="center" wrapText="1"/>
    </xf>
    <xf numFmtId="3" fontId="32" fillId="0" borderId="0" xfId="1" applyNumberFormat="1" applyFont="1" applyAlignment="1">
      <alignment horizontal="right" vertical="center" wrapText="1"/>
    </xf>
    <xf numFmtId="0" fontId="32" fillId="0" borderId="0" xfId="1" applyFont="1" applyAlignment="1">
      <alignment vertical="center" wrapText="1"/>
    </xf>
    <xf numFmtId="0" fontId="33" fillId="0" borderId="0" xfId="1" applyFont="1" applyAlignment="1">
      <alignment vertical="center"/>
    </xf>
    <xf numFmtId="167" fontId="42" fillId="0" borderId="0" xfId="1" applyNumberFormat="1" applyFont="1" applyAlignment="1">
      <alignment horizontal="right" vertical="center" wrapText="1"/>
    </xf>
    <xf numFmtId="0" fontId="42" fillId="0" borderId="0" xfId="1" applyFont="1" applyAlignment="1">
      <alignment horizontal="center" vertical="center" wrapText="1"/>
    </xf>
    <xf numFmtId="0" fontId="42" fillId="0" borderId="0" xfId="1" applyFont="1" applyAlignment="1">
      <alignment horizontal="left" vertical="center" wrapText="1"/>
    </xf>
    <xf numFmtId="165" fontId="42" fillId="0" borderId="0" xfId="1" applyNumberFormat="1" applyFont="1" applyAlignment="1">
      <alignment horizontal="right" vertical="center" wrapText="1"/>
    </xf>
    <xf numFmtId="165" fontId="43" fillId="0" borderId="0" xfId="1" applyNumberFormat="1" applyFont="1" applyAlignment="1">
      <alignment horizontal="right" vertical="center" wrapText="1"/>
    </xf>
    <xf numFmtId="10" fontId="42" fillId="0" borderId="0" xfId="1" applyNumberFormat="1" applyFont="1" applyAlignment="1">
      <alignment horizontal="right" vertical="center" wrapText="1"/>
    </xf>
    <xf numFmtId="0" fontId="14" fillId="0" borderId="0" xfId="2" applyFont="1" applyAlignment="1">
      <alignment horizontal="left"/>
    </xf>
    <xf numFmtId="0" fontId="22" fillId="0" borderId="0" xfId="2" applyFont="1" applyAlignment="1">
      <alignment horizontal="center"/>
    </xf>
    <xf numFmtId="0" fontId="19" fillId="0" borderId="0" xfId="3" applyFont="1" applyAlignment="1">
      <alignment horizontal="center"/>
    </xf>
    <xf numFmtId="0" fontId="9" fillId="0" borderId="0" xfId="2" applyFont="1" applyAlignment="1">
      <alignment horizontal="right"/>
    </xf>
    <xf numFmtId="0" fontId="3" fillId="0" borderId="1" xfId="2" applyFont="1" applyBorder="1" applyAlignment="1">
      <alignment horizontal="center" vertical="center" wrapText="1"/>
    </xf>
    <xf numFmtId="0" fontId="3" fillId="0" borderId="1" xfId="2" applyFont="1" applyBorder="1" applyAlignment="1">
      <alignment horizontal="center" vertical="center"/>
    </xf>
    <xf numFmtId="0" fontId="24" fillId="0" borderId="0" xfId="2" applyFont="1" applyAlignment="1">
      <alignment vertical="center" wrapText="1"/>
    </xf>
    <xf numFmtId="0" fontId="9" fillId="0" borderId="0" xfId="2" applyFont="1" applyAlignment="1">
      <alignment horizontal="left"/>
    </xf>
    <xf numFmtId="0" fontId="7" fillId="0" borderId="0" xfId="3" applyFont="1" applyAlignment="1">
      <alignment horizontal="center" vertical="center"/>
    </xf>
    <xf numFmtId="0" fontId="9" fillId="0" borderId="0" xfId="3" applyFont="1" applyAlignment="1">
      <alignment horizontal="center"/>
    </xf>
    <xf numFmtId="0" fontId="3" fillId="0" borderId="1" xfId="3" applyFont="1" applyBorder="1" applyAlignment="1">
      <alignment horizontal="center" vertical="center" wrapText="1"/>
    </xf>
    <xf numFmtId="0" fontId="3" fillId="0" borderId="1" xfId="3" quotePrefix="1" applyFont="1" applyBorder="1" applyAlignment="1">
      <alignment horizontal="center" vertical="center"/>
    </xf>
    <xf numFmtId="0" fontId="3" fillId="0" borderId="1" xfId="3" applyFont="1" applyBorder="1" applyAlignment="1">
      <alignment horizontal="center" vertical="center"/>
    </xf>
    <xf numFmtId="0" fontId="9" fillId="0" borderId="0" xfId="3" applyFont="1" applyAlignment="1">
      <alignment horizontal="center" vertical="center"/>
    </xf>
    <xf numFmtId="0" fontId="9" fillId="0" borderId="14" xfId="3" applyFont="1" applyBorder="1" applyAlignment="1">
      <alignment horizontal="center" vertical="center"/>
    </xf>
    <xf numFmtId="0" fontId="9" fillId="2" borderId="0" xfId="7" applyFont="1" applyFill="1" applyAlignment="1">
      <alignment horizontal="center" vertical="center" wrapText="1"/>
    </xf>
    <xf numFmtId="0" fontId="27" fillId="2" borderId="0" xfId="7" applyFont="1" applyFill="1" applyAlignment="1">
      <alignment horizontal="right" vertical="center" wrapText="1"/>
    </xf>
    <xf numFmtId="0" fontId="10" fillId="0" borderId="0" xfId="7" applyFont="1" applyAlignment="1">
      <alignment horizontal="left" vertical="center" wrapText="1"/>
    </xf>
    <xf numFmtId="0" fontId="14" fillId="0" borderId="0" xfId="0" applyFont="1" applyAlignment="1">
      <alignment horizontal="left" vertical="center" wrapText="1"/>
    </xf>
    <xf numFmtId="3" fontId="16" fillId="0" borderId="0" xfId="1" applyNumberFormat="1" applyFont="1" applyAlignment="1">
      <alignment horizontal="center" wrapText="1"/>
    </xf>
    <xf numFmtId="0" fontId="27" fillId="0" borderId="0" xfId="1" applyFont="1" applyAlignment="1">
      <alignment horizontal="left" vertical="top" wrapText="1"/>
    </xf>
    <xf numFmtId="0" fontId="3" fillId="0" borderId="0" xfId="1" applyFont="1" applyAlignment="1">
      <alignment horizontal="center" vertical="top"/>
    </xf>
    <xf numFmtId="0" fontId="9" fillId="0" borderId="0" xfId="1" applyFont="1" applyAlignment="1">
      <alignment horizontal="center" vertical="center"/>
    </xf>
    <xf numFmtId="0" fontId="16" fillId="2" borderId="1" xfId="1" applyFont="1" applyFill="1" applyBorder="1" applyAlignment="1">
      <alignment horizontal="center" vertical="center" wrapText="1"/>
    </xf>
    <xf numFmtId="0" fontId="27" fillId="2" borderId="0" xfId="1" applyFont="1" applyFill="1" applyAlignment="1">
      <alignment horizontal="left" vertical="top" wrapText="1"/>
    </xf>
    <xf numFmtId="0" fontId="27" fillId="0" borderId="0" xfId="1" applyFont="1" applyAlignment="1">
      <alignment horizontal="center" vertical="center"/>
    </xf>
    <xf numFmtId="0" fontId="3" fillId="0" borderId="0" xfId="1" applyFont="1" applyAlignment="1">
      <alignment horizontal="center" vertical="center"/>
    </xf>
    <xf numFmtId="0" fontId="47" fillId="0" borderId="0" xfId="1" applyFont="1" applyAlignment="1">
      <alignment horizontal="justify" vertical="center"/>
    </xf>
    <xf numFmtId="3" fontId="42" fillId="0" borderId="0" xfId="1" applyNumberFormat="1" applyFont="1" applyAlignment="1">
      <alignment horizontal="center" vertical="center"/>
    </xf>
    <xf numFmtId="0" fontId="34" fillId="0" borderId="0" xfId="1" applyFont="1" applyAlignment="1">
      <alignment horizontal="center" vertical="center"/>
    </xf>
    <xf numFmtId="0" fontId="50" fillId="0" borderId="0" xfId="1" applyFont="1" applyAlignment="1">
      <alignment horizontal="center" vertical="center" wrapText="1"/>
    </xf>
    <xf numFmtId="0" fontId="32" fillId="0" borderId="0" xfId="1" applyFont="1" applyAlignment="1">
      <alignment horizontal="center" vertical="center"/>
    </xf>
    <xf numFmtId="0" fontId="35" fillId="0" borderId="0" xfId="1" applyFont="1" applyAlignment="1">
      <alignment horizontal="center" vertical="top"/>
    </xf>
    <xf numFmtId="0" fontId="34" fillId="0" borderId="0" xfId="1" applyFont="1" applyAlignment="1">
      <alignment horizontal="center" vertical="top"/>
    </xf>
    <xf numFmtId="0" fontId="3" fillId="0" borderId="0" xfId="1" applyFont="1" applyAlignment="1">
      <alignment vertical="center"/>
    </xf>
    <xf numFmtId="0" fontId="8" fillId="0" borderId="0" xfId="1" applyFont="1" applyAlignment="1">
      <alignment vertical="center"/>
    </xf>
    <xf numFmtId="0" fontId="42" fillId="0" borderId="0" xfId="1" applyFont="1" applyAlignment="1">
      <alignment horizontal="left" vertical="center"/>
    </xf>
    <xf numFmtId="0" fontId="8" fillId="0" borderId="0" xfId="1" applyFont="1" applyAlignment="1">
      <alignment horizontal="center" vertical="center"/>
    </xf>
    <xf numFmtId="0" fontId="12" fillId="0" borderId="1" xfId="2" applyFont="1" applyBorder="1" applyAlignment="1">
      <alignment horizontal="center" vertical="center" wrapText="1"/>
    </xf>
    <xf numFmtId="165" fontId="3" fillId="0" borderId="1" xfId="2" applyNumberFormat="1" applyFont="1" applyBorder="1" applyAlignment="1">
      <alignment vertical="center"/>
    </xf>
    <xf numFmtId="167" fontId="3" fillId="0" borderId="1" xfId="2" applyNumberFormat="1" applyFont="1" applyBorder="1" applyAlignment="1">
      <alignment vertical="center"/>
    </xf>
    <xf numFmtId="0" fontId="3" fillId="0" borderId="1" xfId="2" applyFont="1" applyBorder="1" applyAlignment="1">
      <alignment vertical="center" wrapText="1"/>
    </xf>
    <xf numFmtId="0" fontId="8" fillId="0" borderId="1" xfId="2" quotePrefix="1" applyFont="1" applyBorder="1" applyAlignment="1">
      <alignment horizontal="center" vertical="center"/>
    </xf>
    <xf numFmtId="0" fontId="8" fillId="0" borderId="1" xfId="2" applyFont="1" applyBorder="1" applyAlignment="1">
      <alignment vertical="center" wrapText="1"/>
    </xf>
    <xf numFmtId="165" fontId="8" fillId="0" borderId="1" xfId="2" applyNumberFormat="1" applyFont="1" applyBorder="1" applyAlignment="1">
      <alignment vertical="center"/>
    </xf>
    <xf numFmtId="167" fontId="8" fillId="0" borderId="1" xfId="2" applyNumberFormat="1" applyFont="1" applyBorder="1" applyAlignment="1">
      <alignment vertical="center"/>
    </xf>
    <xf numFmtId="0" fontId="8" fillId="0" borderId="1" xfId="2" applyFont="1" applyBorder="1" applyAlignment="1">
      <alignment horizontal="center" vertical="center"/>
    </xf>
    <xf numFmtId="165" fontId="17" fillId="0" borderId="1" xfId="2" applyNumberFormat="1" applyFont="1" applyBorder="1" applyAlignment="1">
      <alignment vertical="center"/>
    </xf>
    <xf numFmtId="167" fontId="17" fillId="0" borderId="1" xfId="2" applyNumberFormat="1" applyFont="1" applyBorder="1" applyAlignment="1">
      <alignment vertical="center"/>
    </xf>
    <xf numFmtId="167" fontId="5" fillId="0" borderId="1" xfId="2" applyNumberFormat="1" applyFont="1" applyBorder="1" applyAlignment="1">
      <alignment vertical="center"/>
    </xf>
    <xf numFmtId="3" fontId="3" fillId="0" borderId="1" xfId="3" applyNumberFormat="1" applyFont="1" applyBorder="1" applyAlignment="1">
      <alignment horizontal="right" vertical="center"/>
    </xf>
    <xf numFmtId="165" fontId="3" fillId="0" borderId="1" xfId="3" applyNumberFormat="1" applyFont="1" applyBorder="1" applyAlignment="1">
      <alignment horizontal="right" vertical="center"/>
    </xf>
    <xf numFmtId="167" fontId="3" fillId="0" borderId="1" xfId="3" applyNumberFormat="1" applyFont="1" applyBorder="1" applyAlignment="1">
      <alignment horizontal="right" vertical="center"/>
    </xf>
    <xf numFmtId="0" fontId="8" fillId="0" borderId="1" xfId="3" applyFont="1" applyBorder="1" applyAlignment="1">
      <alignment vertical="center" wrapText="1"/>
    </xf>
    <xf numFmtId="3" fontId="8" fillId="0" borderId="1" xfId="3" applyNumberFormat="1" applyFont="1" applyBorder="1" applyAlignment="1">
      <alignment horizontal="right" vertical="center"/>
    </xf>
    <xf numFmtId="165" fontId="8" fillId="0" borderId="1" xfId="3" applyNumberFormat="1" applyFont="1" applyBorder="1" applyAlignment="1">
      <alignment horizontal="right" vertical="center"/>
    </xf>
    <xf numFmtId="167" fontId="8" fillId="0" borderId="1" xfId="3" applyNumberFormat="1" applyFont="1" applyBorder="1" applyAlignment="1">
      <alignment horizontal="right" vertical="center"/>
    </xf>
    <xf numFmtId="0" fontId="3" fillId="0" borderId="1" xfId="2" quotePrefix="1" applyFont="1" applyBorder="1" applyAlignment="1">
      <alignment horizontal="center" vertical="center"/>
    </xf>
    <xf numFmtId="0" fontId="9" fillId="0" borderId="1" xfId="2" quotePrefix="1" applyFont="1" applyBorder="1" applyAlignment="1">
      <alignment horizontal="center" vertical="center"/>
    </xf>
    <xf numFmtId="0" fontId="9" fillId="0" borderId="1" xfId="3" quotePrefix="1" applyFont="1" applyBorder="1" applyAlignment="1">
      <alignment vertical="center" wrapText="1"/>
    </xf>
    <xf numFmtId="3" fontId="9" fillId="0" borderId="1" xfId="3" applyNumberFormat="1" applyFont="1" applyBorder="1" applyAlignment="1">
      <alignment horizontal="right" vertical="center"/>
    </xf>
    <xf numFmtId="165" fontId="9" fillId="0" borderId="1" xfId="3" applyNumberFormat="1" applyFont="1" applyBorder="1" applyAlignment="1">
      <alignment horizontal="right" vertical="center"/>
    </xf>
    <xf numFmtId="167" fontId="9" fillId="0" borderId="1" xfId="3" applyNumberFormat="1" applyFont="1" applyBorder="1" applyAlignment="1">
      <alignment horizontal="right" vertical="center"/>
    </xf>
    <xf numFmtId="3" fontId="8" fillId="0" borderId="1" xfId="4" applyNumberFormat="1" applyFont="1" applyBorder="1" applyAlignment="1"/>
    <xf numFmtId="0" fontId="8" fillId="0" borderId="1" xfId="2" quotePrefix="1" applyFont="1" applyBorder="1" applyAlignment="1">
      <alignment vertical="center" wrapText="1"/>
    </xf>
    <xf numFmtId="165" fontId="8" fillId="0" borderId="1" xfId="1" applyNumberFormat="1" applyFont="1" applyBorder="1" applyAlignment="1">
      <alignment horizontal="right" vertical="center" wrapText="1"/>
    </xf>
    <xf numFmtId="0" fontId="9" fillId="0" borderId="1" xfId="2" quotePrefix="1" applyFont="1" applyBorder="1" applyAlignment="1">
      <alignment vertical="center" wrapText="1"/>
    </xf>
    <xf numFmtId="3" fontId="9" fillId="0" borderId="1" xfId="4" applyNumberFormat="1" applyFont="1" applyBorder="1" applyAlignment="1"/>
    <xf numFmtId="165" fontId="9" fillId="0" borderId="1" xfId="1" applyNumberFormat="1" applyFont="1" applyBorder="1" applyAlignment="1">
      <alignment horizontal="right" vertical="center" wrapText="1"/>
    </xf>
    <xf numFmtId="0" fontId="3" fillId="3" borderId="1" xfId="2" applyFont="1" applyFill="1" applyBorder="1" applyAlignment="1">
      <alignment horizontal="center" vertical="center"/>
    </xf>
    <xf numFmtId="0" fontId="3" fillId="3" borderId="1" xfId="2" applyFont="1" applyFill="1" applyBorder="1" applyAlignment="1">
      <alignment horizontal="left" vertical="center" wrapText="1"/>
    </xf>
    <xf numFmtId="166" fontId="16" fillId="2" borderId="1" xfId="7" applyNumberFormat="1" applyFont="1" applyFill="1" applyBorder="1" applyAlignment="1">
      <alignment horizontal="right" vertical="center" wrapText="1"/>
    </xf>
    <xf numFmtId="167" fontId="16" fillId="2" borderId="1" xfId="7" applyNumberFormat="1" applyFont="1" applyFill="1" applyBorder="1" applyAlignment="1">
      <alignment horizontal="right" vertical="center" wrapText="1"/>
    </xf>
    <xf numFmtId="0" fontId="16" fillId="2" borderId="1" xfId="7" applyFont="1" applyFill="1" applyBorder="1" applyAlignment="1">
      <alignment horizontal="left" vertical="center" wrapText="1"/>
    </xf>
    <xf numFmtId="0" fontId="10" fillId="2" borderId="1" xfId="7" applyFont="1" applyFill="1" applyBorder="1" applyAlignment="1">
      <alignment horizontal="center" vertical="center" wrapText="1"/>
    </xf>
    <xf numFmtId="0" fontId="10" fillId="2" borderId="1" xfId="7" applyFont="1" applyFill="1" applyBorder="1" applyAlignment="1">
      <alignment horizontal="left" vertical="center" wrapText="1"/>
    </xf>
    <xf numFmtId="166" fontId="10" fillId="2" borderId="1" xfId="7" applyNumberFormat="1" applyFont="1" applyFill="1" applyBorder="1" applyAlignment="1">
      <alignment horizontal="right" vertical="center" wrapText="1"/>
    </xf>
    <xf numFmtId="167" fontId="10" fillId="2" borderId="1" xfId="7" applyNumberFormat="1" applyFont="1" applyFill="1" applyBorder="1" applyAlignment="1">
      <alignment horizontal="right" vertical="center" wrapText="1"/>
    </xf>
    <xf numFmtId="0" fontId="27" fillId="2" borderId="1" xfId="7" applyFont="1" applyFill="1" applyBorder="1" applyAlignment="1">
      <alignment horizontal="center" vertical="center" wrapText="1"/>
    </xf>
    <xf numFmtId="0" fontId="27" fillId="2" borderId="1" xfId="7" applyFont="1" applyFill="1" applyBorder="1" applyAlignment="1">
      <alignment horizontal="left" vertical="center" wrapText="1"/>
    </xf>
    <xf numFmtId="166" fontId="27" fillId="2" borderId="1" xfId="7" applyNumberFormat="1" applyFont="1" applyFill="1" applyBorder="1" applyAlignment="1">
      <alignment horizontal="right" vertical="center" wrapText="1"/>
    </xf>
    <xf numFmtId="167" fontId="27" fillId="2" borderId="1" xfId="7" applyNumberFormat="1" applyFont="1" applyFill="1" applyBorder="1" applyAlignment="1">
      <alignment horizontal="right" vertical="center" wrapText="1"/>
    </xf>
    <xf numFmtId="0" fontId="10" fillId="2" borderId="1" xfId="7" quotePrefix="1" applyFont="1" applyFill="1" applyBorder="1" applyAlignment="1">
      <alignment horizontal="center" vertical="center" wrapText="1"/>
    </xf>
    <xf numFmtId="0" fontId="10" fillId="0" borderId="1" xfId="7" applyFont="1" applyBorder="1" applyAlignment="1">
      <alignment horizontal="left" vertical="center" wrapText="1"/>
    </xf>
    <xf numFmtId="0" fontId="10" fillId="0" borderId="1" xfId="7" applyFont="1" applyBorder="1"/>
    <xf numFmtId="0" fontId="3" fillId="2" borderId="0" xfId="7" applyFont="1" applyFill="1" applyAlignment="1">
      <alignment horizontal="center" vertical="center" wrapText="1"/>
    </xf>
    <xf numFmtId="0" fontId="10" fillId="2" borderId="1" xfId="1" applyFont="1" applyFill="1" applyBorder="1" applyAlignment="1">
      <alignment horizontal="center" vertical="center" wrapText="1"/>
    </xf>
    <xf numFmtId="165" fontId="16" fillId="2" borderId="1" xfId="1" applyNumberFormat="1" applyFont="1" applyFill="1" applyBorder="1" applyAlignment="1">
      <alignment horizontal="right" vertical="center" wrapText="1"/>
    </xf>
    <xf numFmtId="167" fontId="16" fillId="2" borderId="1" xfId="1" applyNumberFormat="1" applyFont="1" applyFill="1" applyBorder="1" applyAlignment="1">
      <alignment horizontal="right" vertical="center" wrapText="1"/>
    </xf>
    <xf numFmtId="0" fontId="16" fillId="2" borderId="1" xfId="1" applyFont="1" applyFill="1" applyBorder="1" applyAlignment="1">
      <alignment horizontal="left" vertical="center" wrapText="1"/>
    </xf>
    <xf numFmtId="0" fontId="10" fillId="2" borderId="1" xfId="1" applyFont="1" applyFill="1" applyBorder="1" applyAlignment="1">
      <alignment horizontal="left" vertical="center" wrapText="1"/>
    </xf>
    <xf numFmtId="165" fontId="10" fillId="2" borderId="1" xfId="1" applyNumberFormat="1" applyFont="1" applyFill="1" applyBorder="1" applyAlignment="1">
      <alignment horizontal="right" vertical="center" wrapText="1"/>
    </xf>
    <xf numFmtId="167" fontId="10" fillId="2" borderId="1" xfId="1" applyNumberFormat="1" applyFont="1" applyFill="1" applyBorder="1" applyAlignment="1">
      <alignment horizontal="right" vertical="center" wrapText="1"/>
    </xf>
    <xf numFmtId="0" fontId="10" fillId="2" borderId="1" xfId="1" quotePrefix="1" applyFont="1" applyFill="1" applyBorder="1" applyAlignment="1">
      <alignment horizontal="center" vertical="center" wrapText="1"/>
    </xf>
    <xf numFmtId="0" fontId="36" fillId="0" borderId="0" xfId="1" applyFont="1" applyAlignment="1">
      <alignment vertical="center"/>
    </xf>
    <xf numFmtId="0" fontId="3" fillId="0" borderId="0" xfId="1" applyFont="1" applyAlignment="1">
      <alignment vertical="center" wrapText="1"/>
    </xf>
    <xf numFmtId="0" fontId="8" fillId="0" borderId="0" xfId="1" applyFont="1"/>
    <xf numFmtId="0" fontId="8" fillId="0" borderId="0" xfId="1" applyFont="1" applyAlignment="1">
      <alignment horizontal="center" vertical="top" wrapText="1"/>
    </xf>
    <xf numFmtId="0" fontId="3" fillId="0" borderId="0" xfId="1" applyFont="1" applyAlignment="1">
      <alignment horizontal="center" vertical="top" wrapText="1"/>
    </xf>
    <xf numFmtId="0" fontId="9" fillId="2" borderId="0" xfId="1" applyFont="1" applyFill="1" applyAlignment="1">
      <alignment horizontal="center" vertical="center"/>
    </xf>
    <xf numFmtId="0" fontId="27" fillId="2" borderId="1" xfId="1" applyFont="1" applyFill="1" applyBorder="1" applyAlignment="1">
      <alignment horizontal="center" vertical="center" wrapText="1"/>
    </xf>
    <xf numFmtId="0" fontId="27" fillId="2" borderId="1" xfId="1" applyFont="1" applyFill="1" applyBorder="1" applyAlignment="1">
      <alignment horizontal="left" vertical="center" wrapText="1"/>
    </xf>
    <xf numFmtId="165" fontId="27" fillId="2" borderId="1" xfId="1" applyNumberFormat="1" applyFont="1" applyFill="1" applyBorder="1" applyAlignment="1">
      <alignment horizontal="right" vertical="center" wrapText="1"/>
    </xf>
    <xf numFmtId="167" fontId="27" fillId="2" borderId="1" xfId="1" applyNumberFormat="1" applyFont="1" applyFill="1" applyBorder="1" applyAlignment="1">
      <alignment horizontal="right" vertical="center" wrapText="1"/>
    </xf>
    <xf numFmtId="0" fontId="28" fillId="2" borderId="1" xfId="0" quotePrefix="1" applyFont="1" applyFill="1" applyBorder="1" applyAlignment="1">
      <alignment horizontal="center" vertical="center" wrapText="1"/>
    </xf>
    <xf numFmtId="0" fontId="28" fillId="2" borderId="1" xfId="0" applyFont="1" applyFill="1" applyBorder="1" applyAlignment="1">
      <alignment horizontal="left" vertical="center" wrapText="1"/>
    </xf>
    <xf numFmtId="165" fontId="28" fillId="2" borderId="1" xfId="1" applyNumberFormat="1" applyFont="1" applyFill="1" applyBorder="1" applyAlignment="1">
      <alignment horizontal="right" vertical="center" wrapText="1"/>
    </xf>
    <xf numFmtId="167" fontId="28" fillId="2" borderId="1" xfId="1" applyNumberFormat="1" applyFont="1" applyFill="1" applyBorder="1" applyAlignment="1">
      <alignment horizontal="right" vertical="center" wrapText="1"/>
    </xf>
    <xf numFmtId="0" fontId="10" fillId="2" borderId="1" xfId="0" quotePrefix="1"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0" borderId="1" xfId="2" applyFont="1" applyBorder="1" applyAlignment="1">
      <alignment vertical="center" wrapText="1"/>
    </xf>
    <xf numFmtId="165" fontId="10" fillId="0" borderId="1" xfId="6" applyNumberFormat="1" applyFont="1" applyBorder="1" applyAlignment="1">
      <alignment horizontal="right" vertical="center" wrapText="1"/>
    </xf>
    <xf numFmtId="0" fontId="28" fillId="0" borderId="1" xfId="2" applyFont="1" applyBorder="1" applyAlignment="1">
      <alignment vertical="center" wrapText="1"/>
    </xf>
    <xf numFmtId="165" fontId="10" fillId="2" borderId="1" xfId="0" applyNumberFormat="1" applyFont="1" applyFill="1" applyBorder="1" applyAlignment="1">
      <alignment horizontal="right" vertical="center" wrapText="1"/>
    </xf>
    <xf numFmtId="0" fontId="14" fillId="0" borderId="0" xfId="1" applyFont="1" applyBorder="1" applyAlignment="1">
      <alignment horizontal="center" vertical="center"/>
    </xf>
    <xf numFmtId="0" fontId="45" fillId="2" borderId="1" xfId="1" applyFont="1" applyFill="1" applyBorder="1" applyAlignment="1">
      <alignment horizontal="center" vertical="center" wrapText="1"/>
    </xf>
    <xf numFmtId="0" fontId="45" fillId="2"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165" fontId="45" fillId="2" borderId="1" xfId="1" applyNumberFormat="1" applyFont="1" applyFill="1" applyBorder="1" applyAlignment="1">
      <alignment horizontal="right" vertical="center" wrapText="1"/>
    </xf>
    <xf numFmtId="167" fontId="45" fillId="2" borderId="1" xfId="1" applyNumberFormat="1" applyFont="1" applyFill="1" applyBorder="1" applyAlignment="1">
      <alignment horizontal="right" vertical="center" wrapText="1"/>
    </xf>
    <xf numFmtId="0" fontId="45" fillId="2" borderId="1" xfId="1" applyFont="1" applyFill="1" applyBorder="1" applyAlignment="1">
      <alignment horizontal="left" vertical="center" wrapText="1"/>
    </xf>
    <xf numFmtId="0" fontId="46" fillId="2" borderId="1" xfId="1" applyFont="1" applyFill="1" applyBorder="1" applyAlignment="1">
      <alignment horizontal="center" vertical="center" wrapText="1"/>
    </xf>
    <xf numFmtId="0" fontId="46" fillId="2" borderId="1" xfId="1" applyFont="1" applyFill="1" applyBorder="1" applyAlignment="1">
      <alignment horizontal="left" vertical="center" wrapText="1"/>
    </xf>
    <xf numFmtId="165" fontId="46" fillId="2" borderId="1" xfId="1" applyNumberFormat="1" applyFont="1" applyFill="1" applyBorder="1" applyAlignment="1">
      <alignment horizontal="right" vertical="center" wrapText="1"/>
    </xf>
    <xf numFmtId="167" fontId="46" fillId="2" borderId="1" xfId="1" applyNumberFormat="1" applyFont="1" applyFill="1" applyBorder="1" applyAlignment="1">
      <alignment horizontal="right" vertical="center" wrapText="1"/>
    </xf>
    <xf numFmtId="165" fontId="46" fillId="3" borderId="1" xfId="0" quotePrefix="1" applyNumberFormat="1" applyFont="1" applyFill="1" applyBorder="1" applyAlignment="1">
      <alignment horizontal="right" vertical="center" wrapText="1"/>
    </xf>
    <xf numFmtId="165" fontId="46" fillId="0" borderId="1" xfId="0" applyNumberFormat="1" applyFont="1" applyBorder="1" applyAlignment="1">
      <alignment vertical="center"/>
    </xf>
    <xf numFmtId="165" fontId="53" fillId="2" borderId="1" xfId="1" applyNumberFormat="1" applyFont="1" applyFill="1" applyBorder="1" applyAlignment="1">
      <alignment horizontal="right" vertical="center" wrapText="1"/>
    </xf>
    <xf numFmtId="0" fontId="46" fillId="2" borderId="1" xfId="1" quotePrefix="1" applyFont="1" applyFill="1" applyBorder="1" applyAlignment="1">
      <alignment horizontal="center" vertical="center" wrapText="1"/>
    </xf>
    <xf numFmtId="0" fontId="35" fillId="0" borderId="0" xfId="1" applyFont="1" applyAlignment="1">
      <alignment horizontal="center" vertical="center"/>
    </xf>
    <xf numFmtId="0" fontId="33" fillId="0" borderId="0" xfId="1" applyFont="1" applyBorder="1" applyAlignment="1">
      <alignment vertical="center" wrapText="1"/>
    </xf>
    <xf numFmtId="0" fontId="50" fillId="0" borderId="0" xfId="1" applyFont="1" applyBorder="1" applyAlignment="1">
      <alignment horizontal="center" vertical="center" wrapText="1"/>
    </xf>
    <xf numFmtId="0" fontId="31" fillId="0" borderId="1" xfId="1" applyFont="1" applyBorder="1" applyAlignment="1">
      <alignment horizontal="center" vertical="center" wrapText="1"/>
    </xf>
    <xf numFmtId="0" fontId="31" fillId="0" borderId="1" xfId="1" applyFont="1" applyBorder="1" applyAlignment="1">
      <alignment horizontal="center" vertical="center" wrapText="1"/>
    </xf>
    <xf numFmtId="0" fontId="32" fillId="0" borderId="1" xfId="1" applyFont="1" applyBorder="1" applyAlignment="1">
      <alignment horizontal="center" vertical="center" wrapText="1"/>
    </xf>
    <xf numFmtId="0" fontId="32" fillId="0" borderId="1" xfId="1" quotePrefix="1" applyFont="1" applyBorder="1" applyAlignment="1">
      <alignment horizontal="center" vertical="center" wrapText="1"/>
    </xf>
    <xf numFmtId="165" fontId="31" fillId="0" borderId="1" xfId="1" applyNumberFormat="1" applyFont="1" applyBorder="1" applyAlignment="1">
      <alignment horizontal="right" vertical="center" wrapText="1"/>
    </xf>
    <xf numFmtId="167" fontId="31" fillId="0" borderId="1" xfId="1" applyNumberFormat="1" applyFont="1" applyBorder="1" applyAlignment="1">
      <alignment vertical="center" wrapText="1"/>
    </xf>
    <xf numFmtId="0" fontId="32" fillId="0" borderId="1" xfId="1" applyFont="1" applyBorder="1" applyAlignment="1">
      <alignment horizontal="left" vertical="center" wrapText="1"/>
    </xf>
    <xf numFmtId="165" fontId="32" fillId="0" borderId="1" xfId="1" applyNumberFormat="1" applyFont="1" applyBorder="1" applyAlignment="1">
      <alignment horizontal="right" vertical="center" wrapText="1"/>
    </xf>
    <xf numFmtId="167" fontId="32" fillId="0" borderId="1" xfId="1" applyNumberFormat="1" applyFont="1" applyBorder="1" applyAlignment="1">
      <alignment vertical="center" wrapText="1"/>
    </xf>
    <xf numFmtId="0" fontId="31" fillId="0" borderId="0" xfId="1" applyFont="1"/>
    <xf numFmtId="0" fontId="32" fillId="0" borderId="0" xfId="1" applyFont="1" applyAlignment="1">
      <alignment horizontal="left" indent="1"/>
    </xf>
    <xf numFmtId="0" fontId="33" fillId="0" borderId="0" xfId="1" applyFont="1" applyBorder="1" applyAlignment="1">
      <alignment horizontal="right" vertical="top" wrapText="1"/>
    </xf>
    <xf numFmtId="0" fontId="31" fillId="0" borderId="1" xfId="1" applyFont="1" applyBorder="1" applyAlignment="1">
      <alignment horizontal="center" vertical="center"/>
    </xf>
    <xf numFmtId="0" fontId="57" fillId="0" borderId="1" xfId="1" applyFont="1" applyBorder="1" applyAlignment="1">
      <alignment horizontal="center" vertical="center" wrapText="1"/>
    </xf>
    <xf numFmtId="0" fontId="31" fillId="0" borderId="1" xfId="1" applyFont="1" applyBorder="1" applyAlignment="1">
      <alignment horizontal="center" vertical="center" textRotation="180" wrapText="1"/>
    </xf>
    <xf numFmtId="0" fontId="31" fillId="0" borderId="1" xfId="1" applyFont="1" applyBorder="1" applyAlignment="1">
      <alignment vertical="center" wrapText="1"/>
    </xf>
    <xf numFmtId="167" fontId="31" fillId="0" borderId="1" xfId="1" applyNumberFormat="1" applyFont="1" applyBorder="1" applyAlignment="1">
      <alignment horizontal="right" vertical="center" wrapText="1"/>
    </xf>
    <xf numFmtId="167" fontId="32" fillId="0" borderId="1" xfId="1" applyNumberFormat="1" applyFont="1" applyBorder="1" applyAlignment="1">
      <alignment horizontal="right" vertical="center" wrapText="1"/>
    </xf>
    <xf numFmtId="0" fontId="42" fillId="0" borderId="0" xfId="1" applyFont="1" applyBorder="1" applyAlignment="1">
      <alignment vertical="center"/>
    </xf>
    <xf numFmtId="0" fontId="43" fillId="0" borderId="0" xfId="1" applyFont="1" applyBorder="1" applyAlignment="1">
      <alignment vertical="center"/>
    </xf>
    <xf numFmtId="0" fontId="43" fillId="0" borderId="0" xfId="1" applyFont="1" applyBorder="1" applyAlignment="1">
      <alignment horizontal="center" vertical="center"/>
    </xf>
    <xf numFmtId="0" fontId="43" fillId="0" borderId="0" xfId="1" quotePrefix="1" applyFont="1" applyBorder="1" applyAlignment="1">
      <alignment vertical="center"/>
    </xf>
    <xf numFmtId="165" fontId="42" fillId="0" borderId="0" xfId="1" applyNumberFormat="1" applyFont="1" applyBorder="1" applyAlignment="1">
      <alignment horizontal="right" vertical="center" wrapText="1"/>
    </xf>
    <xf numFmtId="167" fontId="42" fillId="0" borderId="0" xfId="1" applyNumberFormat="1" applyFont="1" applyBorder="1" applyAlignment="1">
      <alignment horizontal="right" vertical="center" wrapText="1"/>
    </xf>
    <xf numFmtId="10" fontId="42" fillId="0" borderId="0" xfId="1" applyNumberFormat="1" applyFont="1" applyBorder="1" applyAlignment="1">
      <alignment horizontal="right" vertical="center" wrapText="1"/>
    </xf>
    <xf numFmtId="0" fontId="11" fillId="0" borderId="1" xfId="1" applyFont="1" applyBorder="1" applyAlignment="1">
      <alignment horizontal="center" vertical="center" wrapText="1"/>
    </xf>
    <xf numFmtId="0" fontId="11" fillId="0" borderId="1" xfId="1" applyFont="1" applyBorder="1" applyAlignment="1">
      <alignment horizontal="center" vertical="center" wrapText="1"/>
    </xf>
    <xf numFmtId="0" fontId="42" fillId="0" borderId="1" xfId="1" applyFont="1" applyBorder="1" applyAlignment="1">
      <alignment horizontal="center" vertical="center" wrapText="1"/>
    </xf>
    <xf numFmtId="165" fontId="11" fillId="0" borderId="1" xfId="1" applyNumberFormat="1" applyFont="1" applyBorder="1" applyAlignment="1">
      <alignment horizontal="right" vertical="center" wrapText="1"/>
    </xf>
    <xf numFmtId="167" fontId="11" fillId="0" borderId="1" xfId="1" applyNumberFormat="1" applyFont="1" applyBorder="1" applyAlignment="1">
      <alignment horizontal="right" vertical="center" wrapText="1"/>
    </xf>
    <xf numFmtId="10" fontId="11" fillId="0" borderId="1" xfId="1" applyNumberFormat="1" applyFont="1" applyBorder="1" applyAlignment="1">
      <alignment horizontal="right" vertical="center" wrapText="1"/>
    </xf>
    <xf numFmtId="0" fontId="11" fillId="0" borderId="1" xfId="1" applyFont="1" applyBorder="1" applyAlignment="1">
      <alignment horizontal="left" vertical="center" wrapText="1"/>
    </xf>
    <xf numFmtId="0" fontId="42" fillId="0" borderId="1" xfId="1" quotePrefix="1" applyFont="1" applyBorder="1" applyAlignment="1">
      <alignment horizontal="center" vertical="center" wrapText="1"/>
    </xf>
    <xf numFmtId="0" fontId="42" fillId="0" borderId="1" xfId="1" applyFont="1" applyBorder="1" applyAlignment="1">
      <alignment horizontal="left" vertical="center" wrapText="1"/>
    </xf>
    <xf numFmtId="165" fontId="42" fillId="0" borderId="1" xfId="1" applyNumberFormat="1" applyFont="1" applyBorder="1" applyAlignment="1">
      <alignment horizontal="right" vertical="center" wrapText="1"/>
    </xf>
    <xf numFmtId="167" fontId="42" fillId="0" borderId="1" xfId="1" applyNumberFormat="1" applyFont="1" applyBorder="1" applyAlignment="1">
      <alignment horizontal="right" vertical="center" wrapText="1"/>
    </xf>
    <xf numFmtId="10" fontId="42" fillId="0" borderId="1" xfId="1" applyNumberFormat="1" applyFont="1" applyBorder="1" applyAlignment="1">
      <alignment horizontal="right" vertical="center" wrapText="1"/>
    </xf>
  </cellXfs>
  <cellStyles count="8">
    <cellStyle name="Comma 10 2" xfId="5" xr:uid="{00000000-0005-0000-0000-000000000000}"/>
    <cellStyle name="Comma 2" xfId="4" xr:uid="{00000000-0005-0000-0000-000001000000}"/>
    <cellStyle name="Normal" xfId="0" builtinId="0"/>
    <cellStyle name="Normal 2" xfId="1" xr:uid="{00000000-0005-0000-0000-000003000000}"/>
    <cellStyle name="Normal 2 2" xfId="3" xr:uid="{00000000-0005-0000-0000-000004000000}"/>
    <cellStyle name="Normal 3" xfId="2" xr:uid="{00000000-0005-0000-0000-000005000000}"/>
    <cellStyle name="Normal 4" xfId="7" xr:uid="{00000000-0005-0000-0000-000006000000}"/>
    <cellStyle name="Normal 8" xfId="6"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TC15\SHARE_QLNSDPNSNN$\Hang\Bieu%20mau%20thu%202003%20vong%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u NSNN(V2)"/>
      <sheetName val="Dt 2001"/>
      <sheetName val="tinh CD DT"/>
      <sheetName val="Thu NSNN (V1)"/>
      <sheetName val="mau"/>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63"/>
  <sheetViews>
    <sheetView showZeros="0" view="pageBreakPreview" zoomScaleNormal="100" zoomScaleSheetLayoutView="100" workbookViewId="0">
      <selection activeCell="C12" sqref="C12"/>
    </sheetView>
  </sheetViews>
  <sheetFormatPr defaultRowHeight="15.75"/>
  <cols>
    <col min="1" max="1" width="5.85546875" style="5" customWidth="1"/>
    <col min="2" max="2" width="46.140625" style="5" customWidth="1"/>
    <col min="3" max="3" width="21.28515625" style="5" customWidth="1"/>
    <col min="4" max="4" width="21.85546875" style="5" customWidth="1"/>
    <col min="5" max="5" width="18.85546875" style="5" customWidth="1"/>
    <col min="6" max="6" width="14.5703125" style="5" customWidth="1"/>
    <col min="7" max="256" width="9.140625" style="5"/>
    <col min="257" max="257" width="5.85546875" style="5" customWidth="1"/>
    <col min="258" max="258" width="45" style="5" customWidth="1"/>
    <col min="259" max="259" width="20.7109375" style="5" customWidth="1"/>
    <col min="260" max="260" width="21.85546875" style="5" customWidth="1"/>
    <col min="261" max="261" width="19" style="5" customWidth="1"/>
    <col min="262" max="262" width="13" style="5" customWidth="1"/>
    <col min="263" max="512" width="9.140625" style="5"/>
    <col min="513" max="513" width="5.85546875" style="5" customWidth="1"/>
    <col min="514" max="514" width="45" style="5" customWidth="1"/>
    <col min="515" max="515" width="20.7109375" style="5" customWidth="1"/>
    <col min="516" max="516" width="21.85546875" style="5" customWidth="1"/>
    <col min="517" max="517" width="19" style="5" customWidth="1"/>
    <col min="518" max="518" width="13" style="5" customWidth="1"/>
    <col min="519" max="768" width="9.140625" style="5"/>
    <col min="769" max="769" width="5.85546875" style="5" customWidth="1"/>
    <col min="770" max="770" width="45" style="5" customWidth="1"/>
    <col min="771" max="771" width="20.7109375" style="5" customWidth="1"/>
    <col min="772" max="772" width="21.85546875" style="5" customWidth="1"/>
    <col min="773" max="773" width="19" style="5" customWidth="1"/>
    <col min="774" max="774" width="13" style="5" customWidth="1"/>
    <col min="775" max="1024" width="9.140625" style="5"/>
    <col min="1025" max="1025" width="5.85546875" style="5" customWidth="1"/>
    <col min="1026" max="1026" width="45" style="5" customWidth="1"/>
    <col min="1027" max="1027" width="20.7109375" style="5" customWidth="1"/>
    <col min="1028" max="1028" width="21.85546875" style="5" customWidth="1"/>
    <col min="1029" max="1029" width="19" style="5" customWidth="1"/>
    <col min="1030" max="1030" width="13" style="5" customWidth="1"/>
    <col min="1031" max="1280" width="9.140625" style="5"/>
    <col min="1281" max="1281" width="5.85546875" style="5" customWidth="1"/>
    <col min="1282" max="1282" width="45" style="5" customWidth="1"/>
    <col min="1283" max="1283" width="20.7109375" style="5" customWidth="1"/>
    <col min="1284" max="1284" width="21.85546875" style="5" customWidth="1"/>
    <col min="1285" max="1285" width="19" style="5" customWidth="1"/>
    <col min="1286" max="1286" width="13" style="5" customWidth="1"/>
    <col min="1287" max="1536" width="9.140625" style="5"/>
    <col min="1537" max="1537" width="5.85546875" style="5" customWidth="1"/>
    <col min="1538" max="1538" width="45" style="5" customWidth="1"/>
    <col min="1539" max="1539" width="20.7109375" style="5" customWidth="1"/>
    <col min="1540" max="1540" width="21.85546875" style="5" customWidth="1"/>
    <col min="1541" max="1541" width="19" style="5" customWidth="1"/>
    <col min="1542" max="1542" width="13" style="5" customWidth="1"/>
    <col min="1543" max="1792" width="9.140625" style="5"/>
    <col min="1793" max="1793" width="5.85546875" style="5" customWidth="1"/>
    <col min="1794" max="1794" width="45" style="5" customWidth="1"/>
    <col min="1795" max="1795" width="20.7109375" style="5" customWidth="1"/>
    <col min="1796" max="1796" width="21.85546875" style="5" customWidth="1"/>
    <col min="1797" max="1797" width="19" style="5" customWidth="1"/>
    <col min="1798" max="1798" width="13" style="5" customWidth="1"/>
    <col min="1799" max="2048" width="9.140625" style="5"/>
    <col min="2049" max="2049" width="5.85546875" style="5" customWidth="1"/>
    <col min="2050" max="2050" width="45" style="5" customWidth="1"/>
    <col min="2051" max="2051" width="20.7109375" style="5" customWidth="1"/>
    <col min="2052" max="2052" width="21.85546875" style="5" customWidth="1"/>
    <col min="2053" max="2053" width="19" style="5" customWidth="1"/>
    <col min="2054" max="2054" width="13" style="5" customWidth="1"/>
    <col min="2055" max="2304" width="9.140625" style="5"/>
    <col min="2305" max="2305" width="5.85546875" style="5" customWidth="1"/>
    <col min="2306" max="2306" width="45" style="5" customWidth="1"/>
    <col min="2307" max="2307" width="20.7109375" style="5" customWidth="1"/>
    <col min="2308" max="2308" width="21.85546875" style="5" customWidth="1"/>
    <col min="2309" max="2309" width="19" style="5" customWidth="1"/>
    <col min="2310" max="2310" width="13" style="5" customWidth="1"/>
    <col min="2311" max="2560" width="9.140625" style="5"/>
    <col min="2561" max="2561" width="5.85546875" style="5" customWidth="1"/>
    <col min="2562" max="2562" width="45" style="5" customWidth="1"/>
    <col min="2563" max="2563" width="20.7109375" style="5" customWidth="1"/>
    <col min="2564" max="2564" width="21.85546875" style="5" customWidth="1"/>
    <col min="2565" max="2565" width="19" style="5" customWidth="1"/>
    <col min="2566" max="2566" width="13" style="5" customWidth="1"/>
    <col min="2567" max="2816" width="9.140625" style="5"/>
    <col min="2817" max="2817" width="5.85546875" style="5" customWidth="1"/>
    <col min="2818" max="2818" width="45" style="5" customWidth="1"/>
    <col min="2819" max="2819" width="20.7109375" style="5" customWidth="1"/>
    <col min="2820" max="2820" width="21.85546875" style="5" customWidth="1"/>
    <col min="2821" max="2821" width="19" style="5" customWidth="1"/>
    <col min="2822" max="2822" width="13" style="5" customWidth="1"/>
    <col min="2823" max="3072" width="9.140625" style="5"/>
    <col min="3073" max="3073" width="5.85546875" style="5" customWidth="1"/>
    <col min="3074" max="3074" width="45" style="5" customWidth="1"/>
    <col min="3075" max="3075" width="20.7109375" style="5" customWidth="1"/>
    <col min="3076" max="3076" width="21.85546875" style="5" customWidth="1"/>
    <col min="3077" max="3077" width="19" style="5" customWidth="1"/>
    <col min="3078" max="3078" width="13" style="5" customWidth="1"/>
    <col min="3079" max="3328" width="9.140625" style="5"/>
    <col min="3329" max="3329" width="5.85546875" style="5" customWidth="1"/>
    <col min="3330" max="3330" width="45" style="5" customWidth="1"/>
    <col min="3331" max="3331" width="20.7109375" style="5" customWidth="1"/>
    <col min="3332" max="3332" width="21.85546875" style="5" customWidth="1"/>
    <col min="3333" max="3333" width="19" style="5" customWidth="1"/>
    <col min="3334" max="3334" width="13" style="5" customWidth="1"/>
    <col min="3335" max="3584" width="9.140625" style="5"/>
    <col min="3585" max="3585" width="5.85546875" style="5" customWidth="1"/>
    <col min="3586" max="3586" width="45" style="5" customWidth="1"/>
    <col min="3587" max="3587" width="20.7109375" style="5" customWidth="1"/>
    <col min="3588" max="3588" width="21.85546875" style="5" customWidth="1"/>
    <col min="3589" max="3589" width="19" style="5" customWidth="1"/>
    <col min="3590" max="3590" width="13" style="5" customWidth="1"/>
    <col min="3591" max="3840" width="9.140625" style="5"/>
    <col min="3841" max="3841" width="5.85546875" style="5" customWidth="1"/>
    <col min="3842" max="3842" width="45" style="5" customWidth="1"/>
    <col min="3843" max="3843" width="20.7109375" style="5" customWidth="1"/>
    <col min="3844" max="3844" width="21.85546875" style="5" customWidth="1"/>
    <col min="3845" max="3845" width="19" style="5" customWidth="1"/>
    <col min="3846" max="3846" width="13" style="5" customWidth="1"/>
    <col min="3847" max="4096" width="9.140625" style="5"/>
    <col min="4097" max="4097" width="5.85546875" style="5" customWidth="1"/>
    <col min="4098" max="4098" width="45" style="5" customWidth="1"/>
    <col min="4099" max="4099" width="20.7109375" style="5" customWidth="1"/>
    <col min="4100" max="4100" width="21.85546875" style="5" customWidth="1"/>
    <col min="4101" max="4101" width="19" style="5" customWidth="1"/>
    <col min="4102" max="4102" width="13" style="5" customWidth="1"/>
    <col min="4103" max="4352" width="9.140625" style="5"/>
    <col min="4353" max="4353" width="5.85546875" style="5" customWidth="1"/>
    <col min="4354" max="4354" width="45" style="5" customWidth="1"/>
    <col min="4355" max="4355" width="20.7109375" style="5" customWidth="1"/>
    <col min="4356" max="4356" width="21.85546875" style="5" customWidth="1"/>
    <col min="4357" max="4357" width="19" style="5" customWidth="1"/>
    <col min="4358" max="4358" width="13" style="5" customWidth="1"/>
    <col min="4359" max="4608" width="9.140625" style="5"/>
    <col min="4609" max="4609" width="5.85546875" style="5" customWidth="1"/>
    <col min="4610" max="4610" width="45" style="5" customWidth="1"/>
    <col min="4611" max="4611" width="20.7109375" style="5" customWidth="1"/>
    <col min="4612" max="4612" width="21.85546875" style="5" customWidth="1"/>
    <col min="4613" max="4613" width="19" style="5" customWidth="1"/>
    <col min="4614" max="4614" width="13" style="5" customWidth="1"/>
    <col min="4615" max="4864" width="9.140625" style="5"/>
    <col min="4865" max="4865" width="5.85546875" style="5" customWidth="1"/>
    <col min="4866" max="4866" width="45" style="5" customWidth="1"/>
    <col min="4867" max="4867" width="20.7109375" style="5" customWidth="1"/>
    <col min="4868" max="4868" width="21.85546875" style="5" customWidth="1"/>
    <col min="4869" max="4869" width="19" style="5" customWidth="1"/>
    <col min="4870" max="4870" width="13" style="5" customWidth="1"/>
    <col min="4871" max="5120" width="9.140625" style="5"/>
    <col min="5121" max="5121" width="5.85546875" style="5" customWidth="1"/>
    <col min="5122" max="5122" width="45" style="5" customWidth="1"/>
    <col min="5123" max="5123" width="20.7109375" style="5" customWidth="1"/>
    <col min="5124" max="5124" width="21.85546875" style="5" customWidth="1"/>
    <col min="5125" max="5125" width="19" style="5" customWidth="1"/>
    <col min="5126" max="5126" width="13" style="5" customWidth="1"/>
    <col min="5127" max="5376" width="9.140625" style="5"/>
    <col min="5377" max="5377" width="5.85546875" style="5" customWidth="1"/>
    <col min="5378" max="5378" width="45" style="5" customWidth="1"/>
    <col min="5379" max="5379" width="20.7109375" style="5" customWidth="1"/>
    <col min="5380" max="5380" width="21.85546875" style="5" customWidth="1"/>
    <col min="5381" max="5381" width="19" style="5" customWidth="1"/>
    <col min="5382" max="5382" width="13" style="5" customWidth="1"/>
    <col min="5383" max="5632" width="9.140625" style="5"/>
    <col min="5633" max="5633" width="5.85546875" style="5" customWidth="1"/>
    <col min="5634" max="5634" width="45" style="5" customWidth="1"/>
    <col min="5635" max="5635" width="20.7109375" style="5" customWidth="1"/>
    <col min="5636" max="5636" width="21.85546875" style="5" customWidth="1"/>
    <col min="5637" max="5637" width="19" style="5" customWidth="1"/>
    <col min="5638" max="5638" width="13" style="5" customWidth="1"/>
    <col min="5639" max="5888" width="9.140625" style="5"/>
    <col min="5889" max="5889" width="5.85546875" style="5" customWidth="1"/>
    <col min="5890" max="5890" width="45" style="5" customWidth="1"/>
    <col min="5891" max="5891" width="20.7109375" style="5" customWidth="1"/>
    <col min="5892" max="5892" width="21.85546875" style="5" customWidth="1"/>
    <col min="5893" max="5893" width="19" style="5" customWidth="1"/>
    <col min="5894" max="5894" width="13" style="5" customWidth="1"/>
    <col min="5895" max="6144" width="9.140625" style="5"/>
    <col min="6145" max="6145" width="5.85546875" style="5" customWidth="1"/>
    <col min="6146" max="6146" width="45" style="5" customWidth="1"/>
    <col min="6147" max="6147" width="20.7109375" style="5" customWidth="1"/>
    <col min="6148" max="6148" width="21.85546875" style="5" customWidth="1"/>
    <col min="6149" max="6149" width="19" style="5" customWidth="1"/>
    <col min="6150" max="6150" width="13" style="5" customWidth="1"/>
    <col min="6151" max="6400" width="9.140625" style="5"/>
    <col min="6401" max="6401" width="5.85546875" style="5" customWidth="1"/>
    <col min="6402" max="6402" width="45" style="5" customWidth="1"/>
    <col min="6403" max="6403" width="20.7109375" style="5" customWidth="1"/>
    <col min="6404" max="6404" width="21.85546875" style="5" customWidth="1"/>
    <col min="6405" max="6405" width="19" style="5" customWidth="1"/>
    <col min="6406" max="6406" width="13" style="5" customWidth="1"/>
    <col min="6407" max="6656" width="9.140625" style="5"/>
    <col min="6657" max="6657" width="5.85546875" style="5" customWidth="1"/>
    <col min="6658" max="6658" width="45" style="5" customWidth="1"/>
    <col min="6659" max="6659" width="20.7109375" style="5" customWidth="1"/>
    <col min="6660" max="6660" width="21.85546875" style="5" customWidth="1"/>
    <col min="6661" max="6661" width="19" style="5" customWidth="1"/>
    <col min="6662" max="6662" width="13" style="5" customWidth="1"/>
    <col min="6663" max="6912" width="9.140625" style="5"/>
    <col min="6913" max="6913" width="5.85546875" style="5" customWidth="1"/>
    <col min="6914" max="6914" width="45" style="5" customWidth="1"/>
    <col min="6915" max="6915" width="20.7109375" style="5" customWidth="1"/>
    <col min="6916" max="6916" width="21.85546875" style="5" customWidth="1"/>
    <col min="6917" max="6917" width="19" style="5" customWidth="1"/>
    <col min="6918" max="6918" width="13" style="5" customWidth="1"/>
    <col min="6919" max="7168" width="9.140625" style="5"/>
    <col min="7169" max="7169" width="5.85546875" style="5" customWidth="1"/>
    <col min="7170" max="7170" width="45" style="5" customWidth="1"/>
    <col min="7171" max="7171" width="20.7109375" style="5" customWidth="1"/>
    <col min="7172" max="7172" width="21.85546875" style="5" customWidth="1"/>
    <col min="7173" max="7173" width="19" style="5" customWidth="1"/>
    <col min="7174" max="7174" width="13" style="5" customWidth="1"/>
    <col min="7175" max="7424" width="9.140625" style="5"/>
    <col min="7425" max="7425" width="5.85546875" style="5" customWidth="1"/>
    <col min="7426" max="7426" width="45" style="5" customWidth="1"/>
    <col min="7427" max="7427" width="20.7109375" style="5" customWidth="1"/>
    <col min="7428" max="7428" width="21.85546875" style="5" customWidth="1"/>
    <col min="7429" max="7429" width="19" style="5" customWidth="1"/>
    <col min="7430" max="7430" width="13" style="5" customWidth="1"/>
    <col min="7431" max="7680" width="9.140625" style="5"/>
    <col min="7681" max="7681" width="5.85546875" style="5" customWidth="1"/>
    <col min="7682" max="7682" width="45" style="5" customWidth="1"/>
    <col min="7683" max="7683" width="20.7109375" style="5" customWidth="1"/>
    <col min="7684" max="7684" width="21.85546875" style="5" customWidth="1"/>
    <col min="7685" max="7685" width="19" style="5" customWidth="1"/>
    <col min="7686" max="7686" width="13" style="5" customWidth="1"/>
    <col min="7687" max="7936" width="9.140625" style="5"/>
    <col min="7937" max="7937" width="5.85546875" style="5" customWidth="1"/>
    <col min="7938" max="7938" width="45" style="5" customWidth="1"/>
    <col min="7939" max="7939" width="20.7109375" style="5" customWidth="1"/>
    <col min="7940" max="7940" width="21.85546875" style="5" customWidth="1"/>
    <col min="7941" max="7941" width="19" style="5" customWidth="1"/>
    <col min="7942" max="7942" width="13" style="5" customWidth="1"/>
    <col min="7943" max="8192" width="9.140625" style="5"/>
    <col min="8193" max="8193" width="5.85546875" style="5" customWidth="1"/>
    <col min="8194" max="8194" width="45" style="5" customWidth="1"/>
    <col min="8195" max="8195" width="20.7109375" style="5" customWidth="1"/>
    <col min="8196" max="8196" width="21.85546875" style="5" customWidth="1"/>
    <col min="8197" max="8197" width="19" style="5" customWidth="1"/>
    <col min="8198" max="8198" width="13" style="5" customWidth="1"/>
    <col min="8199" max="8448" width="9.140625" style="5"/>
    <col min="8449" max="8449" width="5.85546875" style="5" customWidth="1"/>
    <col min="8450" max="8450" width="45" style="5" customWidth="1"/>
    <col min="8451" max="8451" width="20.7109375" style="5" customWidth="1"/>
    <col min="8452" max="8452" width="21.85546875" style="5" customWidth="1"/>
    <col min="8453" max="8453" width="19" style="5" customWidth="1"/>
    <col min="8454" max="8454" width="13" style="5" customWidth="1"/>
    <col min="8455" max="8704" width="9.140625" style="5"/>
    <col min="8705" max="8705" width="5.85546875" style="5" customWidth="1"/>
    <col min="8706" max="8706" width="45" style="5" customWidth="1"/>
    <col min="8707" max="8707" width="20.7109375" style="5" customWidth="1"/>
    <col min="8708" max="8708" width="21.85546875" style="5" customWidth="1"/>
    <col min="8709" max="8709" width="19" style="5" customWidth="1"/>
    <col min="8710" max="8710" width="13" style="5" customWidth="1"/>
    <col min="8711" max="8960" width="9.140625" style="5"/>
    <col min="8961" max="8961" width="5.85546875" style="5" customWidth="1"/>
    <col min="8962" max="8962" width="45" style="5" customWidth="1"/>
    <col min="8963" max="8963" width="20.7109375" style="5" customWidth="1"/>
    <col min="8964" max="8964" width="21.85546875" style="5" customWidth="1"/>
    <col min="8965" max="8965" width="19" style="5" customWidth="1"/>
    <col min="8966" max="8966" width="13" style="5" customWidth="1"/>
    <col min="8967" max="9216" width="9.140625" style="5"/>
    <col min="9217" max="9217" width="5.85546875" style="5" customWidth="1"/>
    <col min="9218" max="9218" width="45" style="5" customWidth="1"/>
    <col min="9219" max="9219" width="20.7109375" style="5" customWidth="1"/>
    <col min="9220" max="9220" width="21.85546875" style="5" customWidth="1"/>
    <col min="9221" max="9221" width="19" style="5" customWidth="1"/>
    <col min="9222" max="9222" width="13" style="5" customWidth="1"/>
    <col min="9223" max="9472" width="9.140625" style="5"/>
    <col min="9473" max="9473" width="5.85546875" style="5" customWidth="1"/>
    <col min="9474" max="9474" width="45" style="5" customWidth="1"/>
    <col min="9475" max="9475" width="20.7109375" style="5" customWidth="1"/>
    <col min="9476" max="9476" width="21.85546875" style="5" customWidth="1"/>
    <col min="9477" max="9477" width="19" style="5" customWidth="1"/>
    <col min="9478" max="9478" width="13" style="5" customWidth="1"/>
    <col min="9479" max="9728" width="9.140625" style="5"/>
    <col min="9729" max="9729" width="5.85546875" style="5" customWidth="1"/>
    <col min="9730" max="9730" width="45" style="5" customWidth="1"/>
    <col min="9731" max="9731" width="20.7109375" style="5" customWidth="1"/>
    <col min="9732" max="9732" width="21.85546875" style="5" customWidth="1"/>
    <col min="9733" max="9733" width="19" style="5" customWidth="1"/>
    <col min="9734" max="9734" width="13" style="5" customWidth="1"/>
    <col min="9735" max="9984" width="9.140625" style="5"/>
    <col min="9985" max="9985" width="5.85546875" style="5" customWidth="1"/>
    <col min="9986" max="9986" width="45" style="5" customWidth="1"/>
    <col min="9987" max="9987" width="20.7109375" style="5" customWidth="1"/>
    <col min="9988" max="9988" width="21.85546875" style="5" customWidth="1"/>
    <col min="9989" max="9989" width="19" style="5" customWidth="1"/>
    <col min="9990" max="9990" width="13" style="5" customWidth="1"/>
    <col min="9991" max="10240" width="9.140625" style="5"/>
    <col min="10241" max="10241" width="5.85546875" style="5" customWidth="1"/>
    <col min="10242" max="10242" width="45" style="5" customWidth="1"/>
    <col min="10243" max="10243" width="20.7109375" style="5" customWidth="1"/>
    <col min="10244" max="10244" width="21.85546875" style="5" customWidth="1"/>
    <col min="10245" max="10245" width="19" style="5" customWidth="1"/>
    <col min="10246" max="10246" width="13" style="5" customWidth="1"/>
    <col min="10247" max="10496" width="9.140625" style="5"/>
    <col min="10497" max="10497" width="5.85546875" style="5" customWidth="1"/>
    <col min="10498" max="10498" width="45" style="5" customWidth="1"/>
    <col min="10499" max="10499" width="20.7109375" style="5" customWidth="1"/>
    <col min="10500" max="10500" width="21.85546875" style="5" customWidth="1"/>
    <col min="10501" max="10501" width="19" style="5" customWidth="1"/>
    <col min="10502" max="10502" width="13" style="5" customWidth="1"/>
    <col min="10503" max="10752" width="9.140625" style="5"/>
    <col min="10753" max="10753" width="5.85546875" style="5" customWidth="1"/>
    <col min="10754" max="10754" width="45" style="5" customWidth="1"/>
    <col min="10755" max="10755" width="20.7109375" style="5" customWidth="1"/>
    <col min="10756" max="10756" width="21.85546875" style="5" customWidth="1"/>
    <col min="10757" max="10757" width="19" style="5" customWidth="1"/>
    <col min="10758" max="10758" width="13" style="5" customWidth="1"/>
    <col min="10759" max="11008" width="9.140625" style="5"/>
    <col min="11009" max="11009" width="5.85546875" style="5" customWidth="1"/>
    <col min="11010" max="11010" width="45" style="5" customWidth="1"/>
    <col min="11011" max="11011" width="20.7109375" style="5" customWidth="1"/>
    <col min="11012" max="11012" width="21.85546875" style="5" customWidth="1"/>
    <col min="11013" max="11013" width="19" style="5" customWidth="1"/>
    <col min="11014" max="11014" width="13" style="5" customWidth="1"/>
    <col min="11015" max="11264" width="9.140625" style="5"/>
    <col min="11265" max="11265" width="5.85546875" style="5" customWidth="1"/>
    <col min="11266" max="11266" width="45" style="5" customWidth="1"/>
    <col min="11267" max="11267" width="20.7109375" style="5" customWidth="1"/>
    <col min="11268" max="11268" width="21.85546875" style="5" customWidth="1"/>
    <col min="11269" max="11269" width="19" style="5" customWidth="1"/>
    <col min="11270" max="11270" width="13" style="5" customWidth="1"/>
    <col min="11271" max="11520" width="9.140625" style="5"/>
    <col min="11521" max="11521" width="5.85546875" style="5" customWidth="1"/>
    <col min="11522" max="11522" width="45" style="5" customWidth="1"/>
    <col min="11523" max="11523" width="20.7109375" style="5" customWidth="1"/>
    <col min="11524" max="11524" width="21.85546875" style="5" customWidth="1"/>
    <col min="11525" max="11525" width="19" style="5" customWidth="1"/>
    <col min="11526" max="11526" width="13" style="5" customWidth="1"/>
    <col min="11527" max="11776" width="9.140625" style="5"/>
    <col min="11777" max="11777" width="5.85546875" style="5" customWidth="1"/>
    <col min="11778" max="11778" width="45" style="5" customWidth="1"/>
    <col min="11779" max="11779" width="20.7109375" style="5" customWidth="1"/>
    <col min="11780" max="11780" width="21.85546875" style="5" customWidth="1"/>
    <col min="11781" max="11781" width="19" style="5" customWidth="1"/>
    <col min="11782" max="11782" width="13" style="5" customWidth="1"/>
    <col min="11783" max="12032" width="9.140625" style="5"/>
    <col min="12033" max="12033" width="5.85546875" style="5" customWidth="1"/>
    <col min="12034" max="12034" width="45" style="5" customWidth="1"/>
    <col min="12035" max="12035" width="20.7109375" style="5" customWidth="1"/>
    <col min="12036" max="12036" width="21.85546875" style="5" customWidth="1"/>
    <col min="12037" max="12037" width="19" style="5" customWidth="1"/>
    <col min="12038" max="12038" width="13" style="5" customWidth="1"/>
    <col min="12039" max="12288" width="9.140625" style="5"/>
    <col min="12289" max="12289" width="5.85546875" style="5" customWidth="1"/>
    <col min="12290" max="12290" width="45" style="5" customWidth="1"/>
    <col min="12291" max="12291" width="20.7109375" style="5" customWidth="1"/>
    <col min="12292" max="12292" width="21.85546875" style="5" customWidth="1"/>
    <col min="12293" max="12293" width="19" style="5" customWidth="1"/>
    <col min="12294" max="12294" width="13" style="5" customWidth="1"/>
    <col min="12295" max="12544" width="9.140625" style="5"/>
    <col min="12545" max="12545" width="5.85546875" style="5" customWidth="1"/>
    <col min="12546" max="12546" width="45" style="5" customWidth="1"/>
    <col min="12547" max="12547" width="20.7109375" style="5" customWidth="1"/>
    <col min="12548" max="12548" width="21.85546875" style="5" customWidth="1"/>
    <col min="12549" max="12549" width="19" style="5" customWidth="1"/>
    <col min="12550" max="12550" width="13" style="5" customWidth="1"/>
    <col min="12551" max="12800" width="9.140625" style="5"/>
    <col min="12801" max="12801" width="5.85546875" style="5" customWidth="1"/>
    <col min="12802" max="12802" width="45" style="5" customWidth="1"/>
    <col min="12803" max="12803" width="20.7109375" style="5" customWidth="1"/>
    <col min="12804" max="12804" width="21.85546875" style="5" customWidth="1"/>
    <col min="12805" max="12805" width="19" style="5" customWidth="1"/>
    <col min="12806" max="12806" width="13" style="5" customWidth="1"/>
    <col min="12807" max="13056" width="9.140625" style="5"/>
    <col min="13057" max="13057" width="5.85546875" style="5" customWidth="1"/>
    <col min="13058" max="13058" width="45" style="5" customWidth="1"/>
    <col min="13059" max="13059" width="20.7109375" style="5" customWidth="1"/>
    <col min="13060" max="13060" width="21.85546875" style="5" customWidth="1"/>
    <col min="13061" max="13061" width="19" style="5" customWidth="1"/>
    <col min="13062" max="13062" width="13" style="5" customWidth="1"/>
    <col min="13063" max="13312" width="9.140625" style="5"/>
    <col min="13313" max="13313" width="5.85546875" style="5" customWidth="1"/>
    <col min="13314" max="13314" width="45" style="5" customWidth="1"/>
    <col min="13315" max="13315" width="20.7109375" style="5" customWidth="1"/>
    <col min="13316" max="13316" width="21.85546875" style="5" customWidth="1"/>
    <col min="13317" max="13317" width="19" style="5" customWidth="1"/>
    <col min="13318" max="13318" width="13" style="5" customWidth="1"/>
    <col min="13319" max="13568" width="9.140625" style="5"/>
    <col min="13569" max="13569" width="5.85546875" style="5" customWidth="1"/>
    <col min="13570" max="13570" width="45" style="5" customWidth="1"/>
    <col min="13571" max="13571" width="20.7109375" style="5" customWidth="1"/>
    <col min="13572" max="13572" width="21.85546875" style="5" customWidth="1"/>
    <col min="13573" max="13573" width="19" style="5" customWidth="1"/>
    <col min="13574" max="13574" width="13" style="5" customWidth="1"/>
    <col min="13575" max="13824" width="9.140625" style="5"/>
    <col min="13825" max="13825" width="5.85546875" style="5" customWidth="1"/>
    <col min="13826" max="13826" width="45" style="5" customWidth="1"/>
    <col min="13827" max="13827" width="20.7109375" style="5" customWidth="1"/>
    <col min="13828" max="13828" width="21.85546875" style="5" customWidth="1"/>
    <col min="13829" max="13829" width="19" style="5" customWidth="1"/>
    <col min="13830" max="13830" width="13" style="5" customWidth="1"/>
    <col min="13831" max="14080" width="9.140625" style="5"/>
    <col min="14081" max="14081" width="5.85546875" style="5" customWidth="1"/>
    <col min="14082" max="14082" width="45" style="5" customWidth="1"/>
    <col min="14083" max="14083" width="20.7109375" style="5" customWidth="1"/>
    <col min="14084" max="14084" width="21.85546875" style="5" customWidth="1"/>
    <col min="14085" max="14085" width="19" style="5" customWidth="1"/>
    <col min="14086" max="14086" width="13" style="5" customWidth="1"/>
    <col min="14087" max="14336" width="9.140625" style="5"/>
    <col min="14337" max="14337" width="5.85546875" style="5" customWidth="1"/>
    <col min="14338" max="14338" width="45" style="5" customWidth="1"/>
    <col min="14339" max="14339" width="20.7109375" style="5" customWidth="1"/>
    <col min="14340" max="14340" width="21.85546875" style="5" customWidth="1"/>
    <col min="14341" max="14341" width="19" style="5" customWidth="1"/>
    <col min="14342" max="14342" width="13" style="5" customWidth="1"/>
    <col min="14343" max="14592" width="9.140625" style="5"/>
    <col min="14593" max="14593" width="5.85546875" style="5" customWidth="1"/>
    <col min="14594" max="14594" width="45" style="5" customWidth="1"/>
    <col min="14595" max="14595" width="20.7109375" style="5" customWidth="1"/>
    <col min="14596" max="14596" width="21.85546875" style="5" customWidth="1"/>
    <col min="14597" max="14597" width="19" style="5" customWidth="1"/>
    <col min="14598" max="14598" width="13" style="5" customWidth="1"/>
    <col min="14599" max="14848" width="9.140625" style="5"/>
    <col min="14849" max="14849" width="5.85546875" style="5" customWidth="1"/>
    <col min="14850" max="14850" width="45" style="5" customWidth="1"/>
    <col min="14851" max="14851" width="20.7109375" style="5" customWidth="1"/>
    <col min="14852" max="14852" width="21.85546875" style="5" customWidth="1"/>
    <col min="14853" max="14853" width="19" style="5" customWidth="1"/>
    <col min="14854" max="14854" width="13" style="5" customWidth="1"/>
    <col min="14855" max="15104" width="9.140625" style="5"/>
    <col min="15105" max="15105" width="5.85546875" style="5" customWidth="1"/>
    <col min="15106" max="15106" width="45" style="5" customWidth="1"/>
    <col min="15107" max="15107" width="20.7109375" style="5" customWidth="1"/>
    <col min="15108" max="15108" width="21.85546875" style="5" customWidth="1"/>
    <col min="15109" max="15109" width="19" style="5" customWidth="1"/>
    <col min="15110" max="15110" width="13" style="5" customWidth="1"/>
    <col min="15111" max="15360" width="9.140625" style="5"/>
    <col min="15361" max="15361" width="5.85546875" style="5" customWidth="1"/>
    <col min="15362" max="15362" width="45" style="5" customWidth="1"/>
    <col min="15363" max="15363" width="20.7109375" style="5" customWidth="1"/>
    <col min="15364" max="15364" width="21.85546875" style="5" customWidth="1"/>
    <col min="15365" max="15365" width="19" style="5" customWidth="1"/>
    <col min="15366" max="15366" width="13" style="5" customWidth="1"/>
    <col min="15367" max="15616" width="9.140625" style="5"/>
    <col min="15617" max="15617" width="5.85546875" style="5" customWidth="1"/>
    <col min="15618" max="15618" width="45" style="5" customWidth="1"/>
    <col min="15619" max="15619" width="20.7109375" style="5" customWidth="1"/>
    <col min="15620" max="15620" width="21.85546875" style="5" customWidth="1"/>
    <col min="15621" max="15621" width="19" style="5" customWidth="1"/>
    <col min="15622" max="15622" width="13" style="5" customWidth="1"/>
    <col min="15623" max="15872" width="9.140625" style="5"/>
    <col min="15873" max="15873" width="5.85546875" style="5" customWidth="1"/>
    <col min="15874" max="15874" width="45" style="5" customWidth="1"/>
    <col min="15875" max="15875" width="20.7109375" style="5" customWidth="1"/>
    <col min="15876" max="15876" width="21.85546875" style="5" customWidth="1"/>
    <col min="15877" max="15877" width="19" style="5" customWidth="1"/>
    <col min="15878" max="15878" width="13" style="5" customWidth="1"/>
    <col min="15879" max="16128" width="9.140625" style="5"/>
    <col min="16129" max="16129" width="5.85546875" style="5" customWidth="1"/>
    <col min="16130" max="16130" width="45" style="5" customWidth="1"/>
    <col min="16131" max="16131" width="20.7109375" style="5" customWidth="1"/>
    <col min="16132" max="16132" width="21.85546875" style="5" customWidth="1"/>
    <col min="16133" max="16133" width="19" style="5" customWidth="1"/>
    <col min="16134" max="16134" width="13" style="5" customWidth="1"/>
    <col min="16135" max="16384" width="9.140625" style="5"/>
  </cols>
  <sheetData>
    <row r="1" spans="1:6" ht="21" customHeight="1">
      <c r="A1" s="52" t="s">
        <v>133</v>
      </c>
      <c r="B1" s="2"/>
      <c r="C1" s="3"/>
      <c r="D1" s="4"/>
      <c r="E1" s="4"/>
    </row>
    <row r="2" spans="1:6" ht="18.75">
      <c r="A2" s="1"/>
      <c r="B2" s="1"/>
      <c r="C2" s="3"/>
      <c r="D2" s="3"/>
      <c r="E2" s="3"/>
      <c r="F2" s="3"/>
    </row>
    <row r="3" spans="1:6" ht="21" customHeight="1">
      <c r="A3" s="153" t="s">
        <v>512</v>
      </c>
      <c r="B3" s="153"/>
      <c r="C3" s="153"/>
      <c r="D3" s="153"/>
      <c r="E3" s="153"/>
      <c r="F3" s="153"/>
    </row>
    <row r="4" spans="1:6" ht="21" customHeight="1">
      <c r="A4" s="154" t="s">
        <v>555</v>
      </c>
      <c r="B4" s="154"/>
      <c r="C4" s="154"/>
      <c r="D4" s="154"/>
      <c r="E4" s="154"/>
      <c r="F4" s="154"/>
    </row>
    <row r="5" spans="1:6" ht="9.75" customHeight="1">
      <c r="A5" s="4"/>
      <c r="B5" s="6"/>
      <c r="C5" s="3"/>
      <c r="D5" s="3"/>
      <c r="E5" s="3"/>
      <c r="F5" s="3"/>
    </row>
    <row r="6" spans="1:6" ht="9.75" customHeight="1">
      <c r="A6" s="6"/>
      <c r="B6" s="6"/>
      <c r="C6" s="3"/>
      <c r="D6" s="3"/>
      <c r="E6" s="3"/>
      <c r="F6" s="3"/>
    </row>
    <row r="7" spans="1:6" ht="20.25" customHeight="1">
      <c r="A7" s="65"/>
      <c r="B7" s="65"/>
      <c r="C7" s="7"/>
      <c r="D7" s="155" t="s">
        <v>429</v>
      </c>
      <c r="E7" s="155"/>
      <c r="F7" s="155"/>
    </row>
    <row r="8" spans="1:6" s="8" customFormat="1" ht="21.75" customHeight="1">
      <c r="A8" s="156" t="s">
        <v>134</v>
      </c>
      <c r="B8" s="157" t="s">
        <v>135</v>
      </c>
      <c r="C8" s="156" t="s">
        <v>3</v>
      </c>
      <c r="D8" s="157" t="s">
        <v>4</v>
      </c>
      <c r="E8" s="157" t="s">
        <v>397</v>
      </c>
      <c r="F8" s="157"/>
    </row>
    <row r="9" spans="1:6" s="8" customFormat="1" ht="23.25" customHeight="1">
      <c r="A9" s="156"/>
      <c r="B9" s="157"/>
      <c r="C9" s="156"/>
      <c r="D9" s="157"/>
      <c r="E9" s="9" t="s">
        <v>136</v>
      </c>
      <c r="F9" s="9" t="s">
        <v>137</v>
      </c>
    </row>
    <row r="10" spans="1:6" s="12" customFormat="1" ht="17.25" customHeight="1">
      <c r="A10" s="10" t="s">
        <v>6</v>
      </c>
      <c r="B10" s="10" t="s">
        <v>23</v>
      </c>
      <c r="C10" s="10">
        <v>1</v>
      </c>
      <c r="D10" s="10">
        <f>C10+1</f>
        <v>2</v>
      </c>
      <c r="E10" s="10" t="s">
        <v>138</v>
      </c>
      <c r="F10" s="11" t="s">
        <v>139</v>
      </c>
    </row>
    <row r="11" spans="1:6" s="13" customFormat="1" ht="28.5" customHeight="1">
      <c r="A11" s="134" t="s">
        <v>6</v>
      </c>
      <c r="B11" s="190" t="s">
        <v>140</v>
      </c>
      <c r="C11" s="191">
        <f>C12+C15+C18+C19+C20</f>
        <v>545367</v>
      </c>
      <c r="D11" s="191">
        <f>D12+D15+D18+D19+D20</f>
        <v>701442.33322799997</v>
      </c>
      <c r="E11" s="191">
        <f>E12+E15+E18+E19+E20</f>
        <v>156075.33322799997</v>
      </c>
      <c r="F11" s="192">
        <f>D11/C11</f>
        <v>1.2861840434569749</v>
      </c>
    </row>
    <row r="12" spans="1:6" s="13" customFormat="1" ht="42" customHeight="1">
      <c r="A12" s="134" t="s">
        <v>8</v>
      </c>
      <c r="B12" s="193" t="s">
        <v>141</v>
      </c>
      <c r="C12" s="191">
        <f>SUM(C13:C14)</f>
        <v>21855</v>
      </c>
      <c r="D12" s="191">
        <f>SUM(D13:D14)</f>
        <v>27246.950723000002</v>
      </c>
      <c r="E12" s="191">
        <f>SUM(E13:E14)</f>
        <v>5391.9507229999999</v>
      </c>
      <c r="F12" s="192">
        <f>D12/C12</f>
        <v>1.2467147436742165</v>
      </c>
    </row>
    <row r="13" spans="1:6" s="13" customFormat="1" ht="21.95" customHeight="1">
      <c r="A13" s="194" t="s">
        <v>12</v>
      </c>
      <c r="B13" s="195" t="s">
        <v>142</v>
      </c>
      <c r="C13" s="196">
        <v>15203</v>
      </c>
      <c r="D13" s="196">
        <v>14648.753004</v>
      </c>
      <c r="E13" s="196">
        <f>D13-C13</f>
        <v>-554.24699599999985</v>
      </c>
      <c r="F13" s="197">
        <f>D13/C13</f>
        <v>0.96354357718871275</v>
      </c>
    </row>
    <row r="14" spans="1:6" s="13" customFormat="1" ht="42" customHeight="1">
      <c r="A14" s="194" t="s">
        <v>12</v>
      </c>
      <c r="B14" s="195" t="s">
        <v>143</v>
      </c>
      <c r="C14" s="196">
        <v>6652</v>
      </c>
      <c r="D14" s="196">
        <v>12598.197719</v>
      </c>
      <c r="E14" s="196">
        <f>D14-C14</f>
        <v>5946.1977189999998</v>
      </c>
      <c r="F14" s="197">
        <f t="shared" ref="F14:F17" si="0">D14/C14</f>
        <v>1.893896229555021</v>
      </c>
    </row>
    <row r="15" spans="1:6" s="14" customFormat="1" ht="21.95" customHeight="1">
      <c r="A15" s="134" t="s">
        <v>16</v>
      </c>
      <c r="B15" s="193" t="s">
        <v>144</v>
      </c>
      <c r="C15" s="191">
        <f>SUM(C16:C17)</f>
        <v>523512</v>
      </c>
      <c r="D15" s="191">
        <f>SUM(D16:D17)</f>
        <v>536748</v>
      </c>
      <c r="E15" s="191">
        <f>D15-C15</f>
        <v>13236</v>
      </c>
      <c r="F15" s="192">
        <f t="shared" si="0"/>
        <v>1.0252830880667492</v>
      </c>
    </row>
    <row r="16" spans="1:6" s="13" customFormat="1" ht="21.95" customHeight="1">
      <c r="A16" s="198">
        <v>1</v>
      </c>
      <c r="B16" s="195" t="s">
        <v>145</v>
      </c>
      <c r="C16" s="196">
        <v>398242</v>
      </c>
      <c r="D16" s="196">
        <v>398242</v>
      </c>
      <c r="E16" s="196">
        <f t="shared" ref="E16:E41" si="1">D16-C16</f>
        <v>0</v>
      </c>
      <c r="F16" s="197">
        <f t="shared" si="0"/>
        <v>1</v>
      </c>
    </row>
    <row r="17" spans="1:6" s="13" customFormat="1" ht="21.95" customHeight="1">
      <c r="A17" s="198">
        <f>A16+1</f>
        <v>2</v>
      </c>
      <c r="B17" s="195" t="s">
        <v>146</v>
      </c>
      <c r="C17" s="196">
        <v>125270</v>
      </c>
      <c r="D17" s="196">
        <v>138506</v>
      </c>
      <c r="E17" s="196">
        <f t="shared" si="1"/>
        <v>13236</v>
      </c>
      <c r="F17" s="197">
        <f t="shared" si="0"/>
        <v>1.1056597748862458</v>
      </c>
    </row>
    <row r="18" spans="1:6" s="15" customFormat="1" ht="21.95" customHeight="1">
      <c r="A18" s="134" t="s">
        <v>50</v>
      </c>
      <c r="B18" s="193" t="s">
        <v>147</v>
      </c>
      <c r="C18" s="196"/>
      <c r="D18" s="196"/>
      <c r="E18" s="196">
        <f t="shared" si="1"/>
        <v>0</v>
      </c>
      <c r="F18" s="197"/>
    </row>
    <row r="19" spans="1:6" s="15" customFormat="1" ht="21.95" customHeight="1">
      <c r="A19" s="134" t="s">
        <v>51</v>
      </c>
      <c r="B19" s="193" t="s">
        <v>148</v>
      </c>
      <c r="C19" s="196"/>
      <c r="D19" s="196">
        <v>3011.061361</v>
      </c>
      <c r="E19" s="196">
        <f t="shared" si="1"/>
        <v>3011.061361</v>
      </c>
      <c r="F19" s="197"/>
    </row>
    <row r="20" spans="1:6" s="15" customFormat="1" ht="42" customHeight="1">
      <c r="A20" s="134" t="s">
        <v>19</v>
      </c>
      <c r="B20" s="193" t="s">
        <v>149</v>
      </c>
      <c r="C20" s="196"/>
      <c r="D20" s="196">
        <v>134436.32114399999</v>
      </c>
      <c r="E20" s="196">
        <f t="shared" si="1"/>
        <v>134436.32114399999</v>
      </c>
      <c r="F20" s="197"/>
    </row>
    <row r="21" spans="1:6" s="13" customFormat="1" ht="24" customHeight="1">
      <c r="A21" s="134" t="s">
        <v>23</v>
      </c>
      <c r="B21" s="133" t="s">
        <v>44</v>
      </c>
      <c r="C21" s="191">
        <f>C22+C29+C32+C33</f>
        <v>545367</v>
      </c>
      <c r="D21" s="191">
        <f>D22+D29+D32+D33</f>
        <v>693388.06235899997</v>
      </c>
      <c r="E21" s="191">
        <f t="shared" si="1"/>
        <v>148021.06235899997</v>
      </c>
      <c r="F21" s="192">
        <f>D21/C21</f>
        <v>1.2714155098474971</v>
      </c>
    </row>
    <row r="22" spans="1:6" s="17" customFormat="1" ht="21.95" customHeight="1">
      <c r="A22" s="134" t="s">
        <v>8</v>
      </c>
      <c r="B22" s="193" t="s">
        <v>150</v>
      </c>
      <c r="C22" s="191">
        <f>SUM(C23:C28)</f>
        <v>416401</v>
      </c>
      <c r="D22" s="191">
        <f>SUM(D23:D28)</f>
        <v>409105.11782799987</v>
      </c>
      <c r="E22" s="191">
        <f t="shared" si="1"/>
        <v>-7295.8821720001288</v>
      </c>
      <c r="F22" s="192">
        <f>D22/C22</f>
        <v>0.98247871121346941</v>
      </c>
    </row>
    <row r="23" spans="1:6" s="13" customFormat="1" ht="21.95" customHeight="1">
      <c r="A23" s="198">
        <v>1</v>
      </c>
      <c r="B23" s="195" t="s">
        <v>151</v>
      </c>
      <c r="C23" s="196">
        <f>'53'!C13</f>
        <v>15950</v>
      </c>
      <c r="D23" s="196">
        <f>'53'!F13</f>
        <v>15962.300921</v>
      </c>
      <c r="E23" s="196">
        <f t="shared" si="1"/>
        <v>12.300921000000017</v>
      </c>
      <c r="F23" s="197">
        <f t="shared" ref="F23:F24" si="2">D23/C23</f>
        <v>1.0007712176175549</v>
      </c>
    </row>
    <row r="24" spans="1:6" s="13" customFormat="1" ht="21.95" customHeight="1">
      <c r="A24" s="198">
        <f>A23+1</f>
        <v>2</v>
      </c>
      <c r="B24" s="195" t="s">
        <v>17</v>
      </c>
      <c r="C24" s="196">
        <f>'53'!C22</f>
        <v>392049</v>
      </c>
      <c r="D24" s="196">
        <f>'53'!F22</f>
        <v>393142.81690699985</v>
      </c>
      <c r="E24" s="196">
        <f t="shared" si="1"/>
        <v>1093.8169069998548</v>
      </c>
      <c r="F24" s="197">
        <f t="shared" si="2"/>
        <v>1.0027900005024879</v>
      </c>
    </row>
    <row r="25" spans="1:6" s="13" customFormat="1" ht="42" customHeight="1">
      <c r="A25" s="198">
        <f>A24+1</f>
        <v>3</v>
      </c>
      <c r="B25" s="195" t="s">
        <v>152</v>
      </c>
      <c r="C25" s="196"/>
      <c r="D25" s="196"/>
      <c r="E25" s="196"/>
      <c r="F25" s="197"/>
    </row>
    <row r="26" spans="1:6" s="16" customFormat="1" ht="21.95" customHeight="1">
      <c r="A26" s="198">
        <f>A25+1</f>
        <v>4</v>
      </c>
      <c r="B26" s="195" t="s">
        <v>153</v>
      </c>
      <c r="C26" s="196"/>
      <c r="D26" s="196"/>
      <c r="E26" s="196"/>
      <c r="F26" s="197"/>
    </row>
    <row r="27" spans="1:6" s="16" customFormat="1" ht="21.95" customHeight="1">
      <c r="A27" s="198">
        <f>A26+1</f>
        <v>5</v>
      </c>
      <c r="B27" s="195" t="s">
        <v>20</v>
      </c>
      <c r="C27" s="196">
        <v>8402</v>
      </c>
      <c r="D27" s="196"/>
      <c r="E27" s="196"/>
      <c r="F27" s="197">
        <f>D27/C27</f>
        <v>0</v>
      </c>
    </row>
    <row r="28" spans="1:6" s="13" customFormat="1" ht="21.95" customHeight="1">
      <c r="A28" s="198">
        <f>A27+1</f>
        <v>6</v>
      </c>
      <c r="B28" s="195" t="s">
        <v>22</v>
      </c>
      <c r="C28" s="196"/>
      <c r="D28" s="196"/>
      <c r="E28" s="196"/>
      <c r="F28" s="197"/>
    </row>
    <row r="29" spans="1:6" s="13" customFormat="1" ht="21.95" customHeight="1">
      <c r="A29" s="134" t="s">
        <v>16</v>
      </c>
      <c r="B29" s="193" t="s">
        <v>154</v>
      </c>
      <c r="C29" s="191">
        <f>SUM(C30:C31)</f>
        <v>128966</v>
      </c>
      <c r="D29" s="191">
        <f>SUM(D30:D31)</f>
        <v>143420.89371999999</v>
      </c>
      <c r="E29" s="191">
        <f t="shared" si="1"/>
        <v>14454.893719999993</v>
      </c>
      <c r="F29" s="192">
        <f>D29/C29</f>
        <v>1.1120829809407129</v>
      </c>
    </row>
    <row r="30" spans="1:6" s="13" customFormat="1" ht="21.95" customHeight="1">
      <c r="A30" s="198">
        <v>1</v>
      </c>
      <c r="B30" s="195" t="s">
        <v>25</v>
      </c>
      <c r="C30" s="196">
        <f>'51'!C28</f>
        <v>116511</v>
      </c>
      <c r="D30" s="196">
        <f>'53'!F29</f>
        <v>121346.62082699999</v>
      </c>
      <c r="E30" s="196">
        <f t="shared" si="1"/>
        <v>4835.6208269999916</v>
      </c>
      <c r="F30" s="197"/>
    </row>
    <row r="31" spans="1:6" s="13" customFormat="1" ht="21.95" customHeight="1">
      <c r="A31" s="198">
        <f>A30+1</f>
        <v>2</v>
      </c>
      <c r="B31" s="195" t="s">
        <v>155</v>
      </c>
      <c r="C31" s="196">
        <f>'53'!C39</f>
        <v>12455</v>
      </c>
      <c r="D31" s="196">
        <f>'53'!F39</f>
        <v>22074.272892999998</v>
      </c>
      <c r="E31" s="196">
        <f t="shared" si="1"/>
        <v>9619.2728929999976</v>
      </c>
      <c r="F31" s="197">
        <f>D31/C31</f>
        <v>1.7723221913287834</v>
      </c>
    </row>
    <row r="32" spans="1:6" s="13" customFormat="1" ht="21.95" customHeight="1">
      <c r="A32" s="134" t="s">
        <v>50</v>
      </c>
      <c r="B32" s="193" t="s">
        <v>98</v>
      </c>
      <c r="C32" s="199"/>
      <c r="D32" s="199">
        <v>110746.843757</v>
      </c>
      <c r="E32" s="199">
        <f>D32-C32</f>
        <v>110746.843757</v>
      </c>
      <c r="F32" s="200"/>
    </row>
    <row r="33" spans="1:6" s="13" customFormat="1" ht="21.95" customHeight="1">
      <c r="A33" s="134" t="s">
        <v>51</v>
      </c>
      <c r="B33" s="193" t="s">
        <v>156</v>
      </c>
      <c r="C33" s="199"/>
      <c r="D33" s="199">
        <v>30115.207053999999</v>
      </c>
      <c r="E33" s="199">
        <f t="shared" si="1"/>
        <v>30115.207053999999</v>
      </c>
      <c r="F33" s="200"/>
    </row>
    <row r="34" spans="1:6" s="16" customFormat="1" ht="21.95" customHeight="1">
      <c r="A34" s="134" t="s">
        <v>41</v>
      </c>
      <c r="B34" s="193" t="s">
        <v>157</v>
      </c>
      <c r="C34" s="196"/>
      <c r="D34" s="199">
        <f>D11-D21</f>
        <v>8054.2708689999999</v>
      </c>
      <c r="E34" s="199">
        <f t="shared" si="1"/>
        <v>8054.2708689999999</v>
      </c>
      <c r="F34" s="197"/>
    </row>
    <row r="35" spans="1:6" s="13" customFormat="1" ht="21.95" customHeight="1">
      <c r="A35" s="134" t="s">
        <v>158</v>
      </c>
      <c r="B35" s="193" t="s">
        <v>159</v>
      </c>
      <c r="C35" s="196"/>
      <c r="D35" s="196"/>
      <c r="E35" s="196">
        <f t="shared" si="1"/>
        <v>0</v>
      </c>
      <c r="F35" s="201"/>
    </row>
    <row r="36" spans="1:6" s="17" customFormat="1" ht="21.95" customHeight="1">
      <c r="A36" s="134" t="s">
        <v>8</v>
      </c>
      <c r="B36" s="193" t="s">
        <v>160</v>
      </c>
      <c r="C36" s="196"/>
      <c r="D36" s="196"/>
      <c r="E36" s="196">
        <f t="shared" si="1"/>
        <v>0</v>
      </c>
      <c r="F36" s="201"/>
    </row>
    <row r="37" spans="1:6" s="17" customFormat="1" ht="42" customHeight="1">
      <c r="A37" s="134" t="s">
        <v>16</v>
      </c>
      <c r="B37" s="193" t="s">
        <v>161</v>
      </c>
      <c r="C37" s="196"/>
      <c r="D37" s="196"/>
      <c r="E37" s="196">
        <f t="shared" si="1"/>
        <v>0</v>
      </c>
      <c r="F37" s="201"/>
    </row>
    <row r="38" spans="1:6" s="13" customFormat="1" ht="21.95" customHeight="1">
      <c r="A38" s="134" t="s">
        <v>162</v>
      </c>
      <c r="B38" s="193" t="s">
        <v>163</v>
      </c>
      <c r="C38" s="196"/>
      <c r="D38" s="196"/>
      <c r="E38" s="196">
        <f t="shared" si="1"/>
        <v>0</v>
      </c>
      <c r="F38" s="201"/>
    </row>
    <row r="39" spans="1:6" s="17" customFormat="1" ht="21.95" customHeight="1">
      <c r="A39" s="134" t="s">
        <v>8</v>
      </c>
      <c r="B39" s="193" t="s">
        <v>164</v>
      </c>
      <c r="C39" s="196"/>
      <c r="D39" s="196"/>
      <c r="E39" s="196">
        <f t="shared" si="1"/>
        <v>0</v>
      </c>
      <c r="F39" s="201"/>
    </row>
    <row r="40" spans="1:6" s="17" customFormat="1" ht="21.95" customHeight="1">
      <c r="A40" s="134" t="s">
        <v>16</v>
      </c>
      <c r="B40" s="193" t="s">
        <v>165</v>
      </c>
      <c r="C40" s="196"/>
      <c r="D40" s="196"/>
      <c r="E40" s="196">
        <f t="shared" si="1"/>
        <v>0</v>
      </c>
      <c r="F40" s="201"/>
    </row>
    <row r="41" spans="1:6" s="13" customFormat="1" ht="42" customHeight="1">
      <c r="A41" s="134" t="s">
        <v>166</v>
      </c>
      <c r="B41" s="193" t="s">
        <v>167</v>
      </c>
      <c r="C41" s="196"/>
      <c r="D41" s="196"/>
      <c r="E41" s="196">
        <f t="shared" si="1"/>
        <v>0</v>
      </c>
      <c r="F41" s="201"/>
    </row>
    <row r="42" spans="1:6" s="16" customFormat="1" ht="6" customHeight="1">
      <c r="A42" s="54"/>
      <c r="B42" s="53"/>
      <c r="C42" s="55"/>
      <c r="D42" s="55"/>
      <c r="E42" s="55"/>
      <c r="F42" s="56"/>
    </row>
    <row r="43" spans="1:6" s="16" customFormat="1" ht="36.75" customHeight="1">
      <c r="A43" s="158" t="s">
        <v>407</v>
      </c>
      <c r="B43" s="158"/>
      <c r="C43" s="158"/>
      <c r="D43" s="158"/>
      <c r="E43" s="158"/>
      <c r="F43" s="158"/>
    </row>
    <row r="44" spans="1:6" s="16" customFormat="1" ht="18.75">
      <c r="A44" s="13"/>
      <c r="B44" s="18"/>
      <c r="C44" s="19"/>
      <c r="D44" s="19"/>
      <c r="E44" s="19"/>
      <c r="F44" s="20"/>
    </row>
    <row r="45" spans="1:6" s="16" customFormat="1" ht="18.75">
      <c r="A45" s="13"/>
      <c r="B45" s="18"/>
      <c r="C45" s="19"/>
      <c r="D45" s="19"/>
      <c r="E45" s="19"/>
      <c r="F45" s="20"/>
    </row>
    <row r="46" spans="1:6" s="16" customFormat="1" ht="18.75">
      <c r="A46" s="13"/>
      <c r="B46" s="18"/>
      <c r="C46" s="19"/>
      <c r="D46" s="19"/>
      <c r="E46" s="19"/>
      <c r="F46" s="20"/>
    </row>
    <row r="47" spans="1:6" s="16" customFormat="1" ht="18.75">
      <c r="A47" s="13"/>
      <c r="B47" s="18"/>
      <c r="C47" s="19"/>
      <c r="D47" s="19"/>
      <c r="E47" s="19"/>
      <c r="F47" s="20"/>
    </row>
    <row r="48" spans="1:6" s="16" customFormat="1" ht="18.75">
      <c r="A48" s="13"/>
      <c r="B48" s="18"/>
      <c r="C48" s="19"/>
      <c r="D48" s="19"/>
      <c r="E48" s="19"/>
      <c r="F48" s="20"/>
    </row>
    <row r="49" spans="1:6" s="16" customFormat="1" ht="18.75">
      <c r="A49" s="13"/>
      <c r="B49" s="18"/>
      <c r="C49" s="19"/>
      <c r="D49" s="19"/>
      <c r="E49" s="19"/>
      <c r="F49" s="20"/>
    </row>
    <row r="50" spans="1:6" s="16" customFormat="1" ht="18.75">
      <c r="A50" s="13"/>
      <c r="B50" s="18"/>
      <c r="C50" s="19"/>
      <c r="D50" s="19"/>
      <c r="E50" s="19"/>
      <c r="F50" s="20"/>
    </row>
    <row r="51" spans="1:6" s="16" customFormat="1" ht="18.75">
      <c r="A51" s="13"/>
      <c r="B51" s="18"/>
      <c r="C51" s="19"/>
      <c r="D51" s="19"/>
      <c r="E51" s="19"/>
      <c r="F51" s="20"/>
    </row>
    <row r="52" spans="1:6" s="16" customFormat="1" ht="18.75">
      <c r="A52" s="13"/>
      <c r="B52" s="18"/>
      <c r="C52" s="19"/>
      <c r="D52" s="19"/>
      <c r="E52" s="19"/>
      <c r="F52" s="20"/>
    </row>
    <row r="53" spans="1:6" ht="24.75" customHeight="1">
      <c r="A53" s="21" t="s">
        <v>431</v>
      </c>
      <c r="C53" s="7"/>
      <c r="D53" s="7"/>
      <c r="E53" s="7"/>
    </row>
    <row r="54" spans="1:6" ht="21" customHeight="1">
      <c r="A54" s="21"/>
      <c r="B54" s="152"/>
      <c r="C54" s="152"/>
      <c r="D54" s="152"/>
      <c r="E54" s="152"/>
      <c r="F54" s="152"/>
    </row>
    <row r="55" spans="1:6" ht="6.75" customHeight="1">
      <c r="A55" s="22"/>
      <c r="B55" s="23"/>
    </row>
    <row r="59" spans="1:6" ht="20.25" customHeight="1">
      <c r="A59" s="21" t="s">
        <v>168</v>
      </c>
      <c r="C59" s="7"/>
      <c r="D59" s="7"/>
      <c r="E59" s="7"/>
    </row>
    <row r="60" spans="1:6" ht="20.25" customHeight="1">
      <c r="A60" s="21"/>
      <c r="B60" s="21" t="s">
        <v>169</v>
      </c>
      <c r="C60" s="7"/>
      <c r="D60" s="7"/>
      <c r="E60" s="7"/>
    </row>
    <row r="61" spans="1:6" s="21" customFormat="1" ht="20.25" customHeight="1">
      <c r="B61" s="21" t="s">
        <v>170</v>
      </c>
      <c r="C61" s="22"/>
      <c r="D61" s="22"/>
      <c r="E61" s="22"/>
    </row>
    <row r="63" spans="1:6" ht="18.75">
      <c r="B63" s="23" t="s">
        <v>171</v>
      </c>
    </row>
  </sheetData>
  <mergeCells count="10">
    <mergeCell ref="B54:F54"/>
    <mergeCell ref="A3:F3"/>
    <mergeCell ref="A4:F4"/>
    <mergeCell ref="D7:F7"/>
    <mergeCell ref="A8:A9"/>
    <mergeCell ref="B8:B9"/>
    <mergeCell ref="C8:C9"/>
    <mergeCell ref="D8:D9"/>
    <mergeCell ref="E8:F8"/>
    <mergeCell ref="A43:F43"/>
  </mergeCells>
  <pageMargins left="0.74" right="0.25" top="0.5" bottom="0.5" header="0.16" footer="0.19"/>
  <pageSetup paperSize="9" scale="72" fitToHeight="0" orientation="portrait" r:id="rId1"/>
  <headerFooter alignWithMargins="0">
    <oddFooter xml:space="preserve">&amp;C&amp;".VnTime,  Italic"&amp;8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88"/>
  <sheetViews>
    <sheetView showZeros="0" view="pageBreakPreview" zoomScaleNormal="100" zoomScaleSheetLayoutView="100" workbookViewId="0">
      <selection activeCell="B10" sqref="B10"/>
    </sheetView>
  </sheetViews>
  <sheetFormatPr defaultRowHeight="15.75"/>
  <cols>
    <col min="1" max="1" width="5.85546875" style="27" customWidth="1"/>
    <col min="2" max="2" width="67" style="27" customWidth="1"/>
    <col min="3" max="6" width="16" style="27" customWidth="1"/>
    <col min="7" max="7" width="13" style="27" customWidth="1"/>
    <col min="8" max="8" width="12.85546875" style="27" customWidth="1"/>
    <col min="9" max="9" width="13" style="27" hidden="1" customWidth="1"/>
    <col min="10" max="10" width="12.28515625" style="27" hidden="1" customWidth="1"/>
    <col min="11" max="11" width="17.140625" style="27" customWidth="1"/>
    <col min="12" max="12" width="13.5703125" style="27" bestFit="1" customWidth="1"/>
    <col min="13" max="256" width="9.140625" style="27"/>
    <col min="257" max="257" width="5.85546875" style="27" customWidth="1"/>
    <col min="258" max="258" width="57.28515625" style="27" customWidth="1"/>
    <col min="259" max="262" width="20.140625" style="27" customWidth="1"/>
    <col min="263" max="263" width="13" style="27" customWidth="1"/>
    <col min="264" max="264" width="11.5703125" style="27" customWidth="1"/>
    <col min="265" max="266" width="0" style="27" hidden="1" customWidth="1"/>
    <col min="267" max="512" width="9.140625" style="27"/>
    <col min="513" max="513" width="5.85546875" style="27" customWidth="1"/>
    <col min="514" max="514" width="57.28515625" style="27" customWidth="1"/>
    <col min="515" max="518" width="20.140625" style="27" customWidth="1"/>
    <col min="519" max="519" width="13" style="27" customWidth="1"/>
    <col min="520" max="520" width="11.5703125" style="27" customWidth="1"/>
    <col min="521" max="522" width="0" style="27" hidden="1" customWidth="1"/>
    <col min="523" max="768" width="9.140625" style="27"/>
    <col min="769" max="769" width="5.85546875" style="27" customWidth="1"/>
    <col min="770" max="770" width="57.28515625" style="27" customWidth="1"/>
    <col min="771" max="774" width="20.140625" style="27" customWidth="1"/>
    <col min="775" max="775" width="13" style="27" customWidth="1"/>
    <col min="776" max="776" width="11.5703125" style="27" customWidth="1"/>
    <col min="777" max="778" width="0" style="27" hidden="1" customWidth="1"/>
    <col min="779" max="1024" width="9.140625" style="27"/>
    <col min="1025" max="1025" width="5.85546875" style="27" customWidth="1"/>
    <col min="1026" max="1026" width="57.28515625" style="27" customWidth="1"/>
    <col min="1027" max="1030" width="20.140625" style="27" customWidth="1"/>
    <col min="1031" max="1031" width="13" style="27" customWidth="1"/>
    <col min="1032" max="1032" width="11.5703125" style="27" customWidth="1"/>
    <col min="1033" max="1034" width="0" style="27" hidden="1" customWidth="1"/>
    <col min="1035" max="1280" width="9.140625" style="27"/>
    <col min="1281" max="1281" width="5.85546875" style="27" customWidth="1"/>
    <col min="1282" max="1282" width="57.28515625" style="27" customWidth="1"/>
    <col min="1283" max="1286" width="20.140625" style="27" customWidth="1"/>
    <col min="1287" max="1287" width="13" style="27" customWidth="1"/>
    <col min="1288" max="1288" width="11.5703125" style="27" customWidth="1"/>
    <col min="1289" max="1290" width="0" style="27" hidden="1" customWidth="1"/>
    <col min="1291" max="1536" width="9.140625" style="27"/>
    <col min="1537" max="1537" width="5.85546875" style="27" customWidth="1"/>
    <col min="1538" max="1538" width="57.28515625" style="27" customWidth="1"/>
    <col min="1539" max="1542" width="20.140625" style="27" customWidth="1"/>
    <col min="1543" max="1543" width="13" style="27" customWidth="1"/>
    <col min="1544" max="1544" width="11.5703125" style="27" customWidth="1"/>
    <col min="1545" max="1546" width="0" style="27" hidden="1" customWidth="1"/>
    <col min="1547" max="1792" width="9.140625" style="27"/>
    <col min="1793" max="1793" width="5.85546875" style="27" customWidth="1"/>
    <col min="1794" max="1794" width="57.28515625" style="27" customWidth="1"/>
    <col min="1795" max="1798" width="20.140625" style="27" customWidth="1"/>
    <col min="1799" max="1799" width="13" style="27" customWidth="1"/>
    <col min="1800" max="1800" width="11.5703125" style="27" customWidth="1"/>
    <col min="1801" max="1802" width="0" style="27" hidden="1" customWidth="1"/>
    <col min="1803" max="2048" width="9.140625" style="27"/>
    <col min="2049" max="2049" width="5.85546875" style="27" customWidth="1"/>
    <col min="2050" max="2050" width="57.28515625" style="27" customWidth="1"/>
    <col min="2051" max="2054" width="20.140625" style="27" customWidth="1"/>
    <col min="2055" max="2055" width="13" style="27" customWidth="1"/>
    <col min="2056" max="2056" width="11.5703125" style="27" customWidth="1"/>
    <col min="2057" max="2058" width="0" style="27" hidden="1" customWidth="1"/>
    <col min="2059" max="2304" width="9.140625" style="27"/>
    <col min="2305" max="2305" width="5.85546875" style="27" customWidth="1"/>
    <col min="2306" max="2306" width="57.28515625" style="27" customWidth="1"/>
    <col min="2307" max="2310" width="20.140625" style="27" customWidth="1"/>
    <col min="2311" max="2311" width="13" style="27" customWidth="1"/>
    <col min="2312" max="2312" width="11.5703125" style="27" customWidth="1"/>
    <col min="2313" max="2314" width="0" style="27" hidden="1" customWidth="1"/>
    <col min="2315" max="2560" width="9.140625" style="27"/>
    <col min="2561" max="2561" width="5.85546875" style="27" customWidth="1"/>
    <col min="2562" max="2562" width="57.28515625" style="27" customWidth="1"/>
    <col min="2563" max="2566" width="20.140625" style="27" customWidth="1"/>
    <col min="2567" max="2567" width="13" style="27" customWidth="1"/>
    <col min="2568" max="2568" width="11.5703125" style="27" customWidth="1"/>
    <col min="2569" max="2570" width="0" style="27" hidden="1" customWidth="1"/>
    <col min="2571" max="2816" width="9.140625" style="27"/>
    <col min="2817" max="2817" width="5.85546875" style="27" customWidth="1"/>
    <col min="2818" max="2818" width="57.28515625" style="27" customWidth="1"/>
    <col min="2819" max="2822" width="20.140625" style="27" customWidth="1"/>
    <col min="2823" max="2823" width="13" style="27" customWidth="1"/>
    <col min="2824" max="2824" width="11.5703125" style="27" customWidth="1"/>
    <col min="2825" max="2826" width="0" style="27" hidden="1" customWidth="1"/>
    <col min="2827" max="3072" width="9.140625" style="27"/>
    <col min="3073" max="3073" width="5.85546875" style="27" customWidth="1"/>
    <col min="3074" max="3074" width="57.28515625" style="27" customWidth="1"/>
    <col min="3075" max="3078" width="20.140625" style="27" customWidth="1"/>
    <col min="3079" max="3079" width="13" style="27" customWidth="1"/>
    <col min="3080" max="3080" width="11.5703125" style="27" customWidth="1"/>
    <col min="3081" max="3082" width="0" style="27" hidden="1" customWidth="1"/>
    <col min="3083" max="3328" width="9.140625" style="27"/>
    <col min="3329" max="3329" width="5.85546875" style="27" customWidth="1"/>
    <col min="3330" max="3330" width="57.28515625" style="27" customWidth="1"/>
    <col min="3331" max="3334" width="20.140625" style="27" customWidth="1"/>
    <col min="3335" max="3335" width="13" style="27" customWidth="1"/>
    <col min="3336" max="3336" width="11.5703125" style="27" customWidth="1"/>
    <col min="3337" max="3338" width="0" style="27" hidden="1" customWidth="1"/>
    <col min="3339" max="3584" width="9.140625" style="27"/>
    <col min="3585" max="3585" width="5.85546875" style="27" customWidth="1"/>
    <col min="3586" max="3586" width="57.28515625" style="27" customWidth="1"/>
    <col min="3587" max="3590" width="20.140625" style="27" customWidth="1"/>
    <col min="3591" max="3591" width="13" style="27" customWidth="1"/>
    <col min="3592" max="3592" width="11.5703125" style="27" customWidth="1"/>
    <col min="3593" max="3594" width="0" style="27" hidden="1" customWidth="1"/>
    <col min="3595" max="3840" width="9.140625" style="27"/>
    <col min="3841" max="3841" width="5.85546875" style="27" customWidth="1"/>
    <col min="3842" max="3842" width="57.28515625" style="27" customWidth="1"/>
    <col min="3843" max="3846" width="20.140625" style="27" customWidth="1"/>
    <col min="3847" max="3847" width="13" style="27" customWidth="1"/>
    <col min="3848" max="3848" width="11.5703125" style="27" customWidth="1"/>
    <col min="3849" max="3850" width="0" style="27" hidden="1" customWidth="1"/>
    <col min="3851" max="4096" width="9.140625" style="27"/>
    <col min="4097" max="4097" width="5.85546875" style="27" customWidth="1"/>
    <col min="4098" max="4098" width="57.28515625" style="27" customWidth="1"/>
    <col min="4099" max="4102" width="20.140625" style="27" customWidth="1"/>
    <col min="4103" max="4103" width="13" style="27" customWidth="1"/>
    <col min="4104" max="4104" width="11.5703125" style="27" customWidth="1"/>
    <col min="4105" max="4106" width="0" style="27" hidden="1" customWidth="1"/>
    <col min="4107" max="4352" width="9.140625" style="27"/>
    <col min="4353" max="4353" width="5.85546875" style="27" customWidth="1"/>
    <col min="4354" max="4354" width="57.28515625" style="27" customWidth="1"/>
    <col min="4355" max="4358" width="20.140625" style="27" customWidth="1"/>
    <col min="4359" max="4359" width="13" style="27" customWidth="1"/>
    <col min="4360" max="4360" width="11.5703125" style="27" customWidth="1"/>
    <col min="4361" max="4362" width="0" style="27" hidden="1" customWidth="1"/>
    <col min="4363" max="4608" width="9.140625" style="27"/>
    <col min="4609" max="4609" width="5.85546875" style="27" customWidth="1"/>
    <col min="4610" max="4610" width="57.28515625" style="27" customWidth="1"/>
    <col min="4611" max="4614" width="20.140625" style="27" customWidth="1"/>
    <col min="4615" max="4615" width="13" style="27" customWidth="1"/>
    <col min="4616" max="4616" width="11.5703125" style="27" customWidth="1"/>
    <col min="4617" max="4618" width="0" style="27" hidden="1" customWidth="1"/>
    <col min="4619" max="4864" width="9.140625" style="27"/>
    <col min="4865" max="4865" width="5.85546875" style="27" customWidth="1"/>
    <col min="4866" max="4866" width="57.28515625" style="27" customWidth="1"/>
    <col min="4867" max="4870" width="20.140625" style="27" customWidth="1"/>
    <col min="4871" max="4871" width="13" style="27" customWidth="1"/>
    <col min="4872" max="4872" width="11.5703125" style="27" customWidth="1"/>
    <col min="4873" max="4874" width="0" style="27" hidden="1" customWidth="1"/>
    <col min="4875" max="5120" width="9.140625" style="27"/>
    <col min="5121" max="5121" width="5.85546875" style="27" customWidth="1"/>
    <col min="5122" max="5122" width="57.28515625" style="27" customWidth="1"/>
    <col min="5123" max="5126" width="20.140625" style="27" customWidth="1"/>
    <col min="5127" max="5127" width="13" style="27" customWidth="1"/>
    <col min="5128" max="5128" width="11.5703125" style="27" customWidth="1"/>
    <col min="5129" max="5130" width="0" style="27" hidden="1" customWidth="1"/>
    <col min="5131" max="5376" width="9.140625" style="27"/>
    <col min="5377" max="5377" width="5.85546875" style="27" customWidth="1"/>
    <col min="5378" max="5378" width="57.28515625" style="27" customWidth="1"/>
    <col min="5379" max="5382" width="20.140625" style="27" customWidth="1"/>
    <col min="5383" max="5383" width="13" style="27" customWidth="1"/>
    <col min="5384" max="5384" width="11.5703125" style="27" customWidth="1"/>
    <col min="5385" max="5386" width="0" style="27" hidden="1" customWidth="1"/>
    <col min="5387" max="5632" width="9.140625" style="27"/>
    <col min="5633" max="5633" width="5.85546875" style="27" customWidth="1"/>
    <col min="5634" max="5634" width="57.28515625" style="27" customWidth="1"/>
    <col min="5635" max="5638" width="20.140625" style="27" customWidth="1"/>
    <col min="5639" max="5639" width="13" style="27" customWidth="1"/>
    <col min="5640" max="5640" width="11.5703125" style="27" customWidth="1"/>
    <col min="5641" max="5642" width="0" style="27" hidden="1" customWidth="1"/>
    <col min="5643" max="5888" width="9.140625" style="27"/>
    <col min="5889" max="5889" width="5.85546875" style="27" customWidth="1"/>
    <col min="5890" max="5890" width="57.28515625" style="27" customWidth="1"/>
    <col min="5891" max="5894" width="20.140625" style="27" customWidth="1"/>
    <col min="5895" max="5895" width="13" style="27" customWidth="1"/>
    <col min="5896" max="5896" width="11.5703125" style="27" customWidth="1"/>
    <col min="5897" max="5898" width="0" style="27" hidden="1" customWidth="1"/>
    <col min="5899" max="6144" width="9.140625" style="27"/>
    <col min="6145" max="6145" width="5.85546875" style="27" customWidth="1"/>
    <col min="6146" max="6146" width="57.28515625" style="27" customWidth="1"/>
    <col min="6147" max="6150" width="20.140625" style="27" customWidth="1"/>
    <col min="6151" max="6151" width="13" style="27" customWidth="1"/>
    <col min="6152" max="6152" width="11.5703125" style="27" customWidth="1"/>
    <col min="6153" max="6154" width="0" style="27" hidden="1" customWidth="1"/>
    <col min="6155" max="6400" width="9.140625" style="27"/>
    <col min="6401" max="6401" width="5.85546875" style="27" customWidth="1"/>
    <col min="6402" max="6402" width="57.28515625" style="27" customWidth="1"/>
    <col min="6403" max="6406" width="20.140625" style="27" customWidth="1"/>
    <col min="6407" max="6407" width="13" style="27" customWidth="1"/>
    <col min="6408" max="6408" width="11.5703125" style="27" customWidth="1"/>
    <col min="6409" max="6410" width="0" style="27" hidden="1" customWidth="1"/>
    <col min="6411" max="6656" width="9.140625" style="27"/>
    <col min="6657" max="6657" width="5.85546875" style="27" customWidth="1"/>
    <col min="6658" max="6658" width="57.28515625" style="27" customWidth="1"/>
    <col min="6659" max="6662" width="20.140625" style="27" customWidth="1"/>
    <col min="6663" max="6663" width="13" style="27" customWidth="1"/>
    <col min="6664" max="6664" width="11.5703125" style="27" customWidth="1"/>
    <col min="6665" max="6666" width="0" style="27" hidden="1" customWidth="1"/>
    <col min="6667" max="6912" width="9.140625" style="27"/>
    <col min="6913" max="6913" width="5.85546875" style="27" customWidth="1"/>
    <col min="6914" max="6914" width="57.28515625" style="27" customWidth="1"/>
    <col min="6915" max="6918" width="20.140625" style="27" customWidth="1"/>
    <col min="6919" max="6919" width="13" style="27" customWidth="1"/>
    <col min="6920" max="6920" width="11.5703125" style="27" customWidth="1"/>
    <col min="6921" max="6922" width="0" style="27" hidden="1" customWidth="1"/>
    <col min="6923" max="7168" width="9.140625" style="27"/>
    <col min="7169" max="7169" width="5.85546875" style="27" customWidth="1"/>
    <col min="7170" max="7170" width="57.28515625" style="27" customWidth="1"/>
    <col min="7171" max="7174" width="20.140625" style="27" customWidth="1"/>
    <col min="7175" max="7175" width="13" style="27" customWidth="1"/>
    <col min="7176" max="7176" width="11.5703125" style="27" customWidth="1"/>
    <col min="7177" max="7178" width="0" style="27" hidden="1" customWidth="1"/>
    <col min="7179" max="7424" width="9.140625" style="27"/>
    <col min="7425" max="7425" width="5.85546875" style="27" customWidth="1"/>
    <col min="7426" max="7426" width="57.28515625" style="27" customWidth="1"/>
    <col min="7427" max="7430" width="20.140625" style="27" customWidth="1"/>
    <col min="7431" max="7431" width="13" style="27" customWidth="1"/>
    <col min="7432" max="7432" width="11.5703125" style="27" customWidth="1"/>
    <col min="7433" max="7434" width="0" style="27" hidden="1" customWidth="1"/>
    <col min="7435" max="7680" width="9.140625" style="27"/>
    <col min="7681" max="7681" width="5.85546875" style="27" customWidth="1"/>
    <col min="7682" max="7682" width="57.28515625" style="27" customWidth="1"/>
    <col min="7683" max="7686" width="20.140625" style="27" customWidth="1"/>
    <col min="7687" max="7687" width="13" style="27" customWidth="1"/>
    <col min="7688" max="7688" width="11.5703125" style="27" customWidth="1"/>
    <col min="7689" max="7690" width="0" style="27" hidden="1" customWidth="1"/>
    <col min="7691" max="7936" width="9.140625" style="27"/>
    <col min="7937" max="7937" width="5.85546875" style="27" customWidth="1"/>
    <col min="7938" max="7938" width="57.28515625" style="27" customWidth="1"/>
    <col min="7939" max="7942" width="20.140625" style="27" customWidth="1"/>
    <col min="7943" max="7943" width="13" style="27" customWidth="1"/>
    <col min="7944" max="7944" width="11.5703125" style="27" customWidth="1"/>
    <col min="7945" max="7946" width="0" style="27" hidden="1" customWidth="1"/>
    <col min="7947" max="8192" width="9.140625" style="27"/>
    <col min="8193" max="8193" width="5.85546875" style="27" customWidth="1"/>
    <col min="8194" max="8194" width="57.28515625" style="27" customWidth="1"/>
    <col min="8195" max="8198" width="20.140625" style="27" customWidth="1"/>
    <col min="8199" max="8199" width="13" style="27" customWidth="1"/>
    <col min="8200" max="8200" width="11.5703125" style="27" customWidth="1"/>
    <col min="8201" max="8202" width="0" style="27" hidden="1" customWidth="1"/>
    <col min="8203" max="8448" width="9.140625" style="27"/>
    <col min="8449" max="8449" width="5.85546875" style="27" customWidth="1"/>
    <col min="8450" max="8450" width="57.28515625" style="27" customWidth="1"/>
    <col min="8451" max="8454" width="20.140625" style="27" customWidth="1"/>
    <col min="8455" max="8455" width="13" style="27" customWidth="1"/>
    <col min="8456" max="8456" width="11.5703125" style="27" customWidth="1"/>
    <col min="8457" max="8458" width="0" style="27" hidden="1" customWidth="1"/>
    <col min="8459" max="8704" width="9.140625" style="27"/>
    <col min="8705" max="8705" width="5.85546875" style="27" customWidth="1"/>
    <col min="8706" max="8706" width="57.28515625" style="27" customWidth="1"/>
    <col min="8707" max="8710" width="20.140625" style="27" customWidth="1"/>
    <col min="8711" max="8711" width="13" style="27" customWidth="1"/>
    <col min="8712" max="8712" width="11.5703125" style="27" customWidth="1"/>
    <col min="8713" max="8714" width="0" style="27" hidden="1" customWidth="1"/>
    <col min="8715" max="8960" width="9.140625" style="27"/>
    <col min="8961" max="8961" width="5.85546875" style="27" customWidth="1"/>
    <col min="8962" max="8962" width="57.28515625" style="27" customWidth="1"/>
    <col min="8963" max="8966" width="20.140625" style="27" customWidth="1"/>
    <col min="8967" max="8967" width="13" style="27" customWidth="1"/>
    <col min="8968" max="8968" width="11.5703125" style="27" customWidth="1"/>
    <col min="8969" max="8970" width="0" style="27" hidden="1" customWidth="1"/>
    <col min="8971" max="9216" width="9.140625" style="27"/>
    <col min="9217" max="9217" width="5.85546875" style="27" customWidth="1"/>
    <col min="9218" max="9218" width="57.28515625" style="27" customWidth="1"/>
    <col min="9219" max="9222" width="20.140625" style="27" customWidth="1"/>
    <col min="9223" max="9223" width="13" style="27" customWidth="1"/>
    <col min="9224" max="9224" width="11.5703125" style="27" customWidth="1"/>
    <col min="9225" max="9226" width="0" style="27" hidden="1" customWidth="1"/>
    <col min="9227" max="9472" width="9.140625" style="27"/>
    <col min="9473" max="9473" width="5.85546875" style="27" customWidth="1"/>
    <col min="9474" max="9474" width="57.28515625" style="27" customWidth="1"/>
    <col min="9475" max="9478" width="20.140625" style="27" customWidth="1"/>
    <col min="9479" max="9479" width="13" style="27" customWidth="1"/>
    <col min="9480" max="9480" width="11.5703125" style="27" customWidth="1"/>
    <col min="9481" max="9482" width="0" style="27" hidden="1" customWidth="1"/>
    <col min="9483" max="9728" width="9.140625" style="27"/>
    <col min="9729" max="9729" width="5.85546875" style="27" customWidth="1"/>
    <col min="9730" max="9730" width="57.28515625" style="27" customWidth="1"/>
    <col min="9731" max="9734" width="20.140625" style="27" customWidth="1"/>
    <col min="9735" max="9735" width="13" style="27" customWidth="1"/>
    <col min="9736" max="9736" width="11.5703125" style="27" customWidth="1"/>
    <col min="9737" max="9738" width="0" style="27" hidden="1" customWidth="1"/>
    <col min="9739" max="9984" width="9.140625" style="27"/>
    <col min="9985" max="9985" width="5.85546875" style="27" customWidth="1"/>
    <col min="9986" max="9986" width="57.28515625" style="27" customWidth="1"/>
    <col min="9987" max="9990" width="20.140625" style="27" customWidth="1"/>
    <col min="9991" max="9991" width="13" style="27" customWidth="1"/>
    <col min="9992" max="9992" width="11.5703125" style="27" customWidth="1"/>
    <col min="9993" max="9994" width="0" style="27" hidden="1" customWidth="1"/>
    <col min="9995" max="10240" width="9.140625" style="27"/>
    <col min="10241" max="10241" width="5.85546875" style="27" customWidth="1"/>
    <col min="10242" max="10242" width="57.28515625" style="27" customWidth="1"/>
    <col min="10243" max="10246" width="20.140625" style="27" customWidth="1"/>
    <col min="10247" max="10247" width="13" style="27" customWidth="1"/>
    <col min="10248" max="10248" width="11.5703125" style="27" customWidth="1"/>
    <col min="10249" max="10250" width="0" style="27" hidden="1" customWidth="1"/>
    <col min="10251" max="10496" width="9.140625" style="27"/>
    <col min="10497" max="10497" width="5.85546875" style="27" customWidth="1"/>
    <col min="10498" max="10498" width="57.28515625" style="27" customWidth="1"/>
    <col min="10499" max="10502" width="20.140625" style="27" customWidth="1"/>
    <col min="10503" max="10503" width="13" style="27" customWidth="1"/>
    <col min="10504" max="10504" width="11.5703125" style="27" customWidth="1"/>
    <col min="10505" max="10506" width="0" style="27" hidden="1" customWidth="1"/>
    <col min="10507" max="10752" width="9.140625" style="27"/>
    <col min="10753" max="10753" width="5.85546875" style="27" customWidth="1"/>
    <col min="10754" max="10754" width="57.28515625" style="27" customWidth="1"/>
    <col min="10755" max="10758" width="20.140625" style="27" customWidth="1"/>
    <col min="10759" max="10759" width="13" style="27" customWidth="1"/>
    <col min="10760" max="10760" width="11.5703125" style="27" customWidth="1"/>
    <col min="10761" max="10762" width="0" style="27" hidden="1" customWidth="1"/>
    <col min="10763" max="11008" width="9.140625" style="27"/>
    <col min="11009" max="11009" width="5.85546875" style="27" customWidth="1"/>
    <col min="11010" max="11010" width="57.28515625" style="27" customWidth="1"/>
    <col min="11011" max="11014" width="20.140625" style="27" customWidth="1"/>
    <col min="11015" max="11015" width="13" style="27" customWidth="1"/>
    <col min="11016" max="11016" width="11.5703125" style="27" customWidth="1"/>
    <col min="11017" max="11018" width="0" style="27" hidden="1" customWidth="1"/>
    <col min="11019" max="11264" width="9.140625" style="27"/>
    <col min="11265" max="11265" width="5.85546875" style="27" customWidth="1"/>
    <col min="11266" max="11266" width="57.28515625" style="27" customWidth="1"/>
    <col min="11267" max="11270" width="20.140625" style="27" customWidth="1"/>
    <col min="11271" max="11271" width="13" style="27" customWidth="1"/>
    <col min="11272" max="11272" width="11.5703125" style="27" customWidth="1"/>
    <col min="11273" max="11274" width="0" style="27" hidden="1" customWidth="1"/>
    <col min="11275" max="11520" width="9.140625" style="27"/>
    <col min="11521" max="11521" width="5.85546875" style="27" customWidth="1"/>
    <col min="11522" max="11522" width="57.28515625" style="27" customWidth="1"/>
    <col min="11523" max="11526" width="20.140625" style="27" customWidth="1"/>
    <col min="11527" max="11527" width="13" style="27" customWidth="1"/>
    <col min="11528" max="11528" width="11.5703125" style="27" customWidth="1"/>
    <col min="11529" max="11530" width="0" style="27" hidden="1" customWidth="1"/>
    <col min="11531" max="11776" width="9.140625" style="27"/>
    <col min="11777" max="11777" width="5.85546875" style="27" customWidth="1"/>
    <col min="11778" max="11778" width="57.28515625" style="27" customWidth="1"/>
    <col min="11779" max="11782" width="20.140625" style="27" customWidth="1"/>
    <col min="11783" max="11783" width="13" style="27" customWidth="1"/>
    <col min="11784" max="11784" width="11.5703125" style="27" customWidth="1"/>
    <col min="11785" max="11786" width="0" style="27" hidden="1" customWidth="1"/>
    <col min="11787" max="12032" width="9.140625" style="27"/>
    <col min="12033" max="12033" width="5.85546875" style="27" customWidth="1"/>
    <col min="12034" max="12034" width="57.28515625" style="27" customWidth="1"/>
    <col min="12035" max="12038" width="20.140625" style="27" customWidth="1"/>
    <col min="12039" max="12039" width="13" style="27" customWidth="1"/>
    <col min="12040" max="12040" width="11.5703125" style="27" customWidth="1"/>
    <col min="12041" max="12042" width="0" style="27" hidden="1" customWidth="1"/>
    <col min="12043" max="12288" width="9.140625" style="27"/>
    <col min="12289" max="12289" width="5.85546875" style="27" customWidth="1"/>
    <col min="12290" max="12290" width="57.28515625" style="27" customWidth="1"/>
    <col min="12291" max="12294" width="20.140625" style="27" customWidth="1"/>
    <col min="12295" max="12295" width="13" style="27" customWidth="1"/>
    <col min="12296" max="12296" width="11.5703125" style="27" customWidth="1"/>
    <col min="12297" max="12298" width="0" style="27" hidden="1" customWidth="1"/>
    <col min="12299" max="12544" width="9.140625" style="27"/>
    <col min="12545" max="12545" width="5.85546875" style="27" customWidth="1"/>
    <col min="12546" max="12546" width="57.28515625" style="27" customWidth="1"/>
    <col min="12547" max="12550" width="20.140625" style="27" customWidth="1"/>
    <col min="12551" max="12551" width="13" style="27" customWidth="1"/>
    <col min="12552" max="12552" width="11.5703125" style="27" customWidth="1"/>
    <col min="12553" max="12554" width="0" style="27" hidden="1" customWidth="1"/>
    <col min="12555" max="12800" width="9.140625" style="27"/>
    <col min="12801" max="12801" width="5.85546875" style="27" customWidth="1"/>
    <col min="12802" max="12802" width="57.28515625" style="27" customWidth="1"/>
    <col min="12803" max="12806" width="20.140625" style="27" customWidth="1"/>
    <col min="12807" max="12807" width="13" style="27" customWidth="1"/>
    <col min="12808" max="12808" width="11.5703125" style="27" customWidth="1"/>
    <col min="12809" max="12810" width="0" style="27" hidden="1" customWidth="1"/>
    <col min="12811" max="13056" width="9.140625" style="27"/>
    <col min="13057" max="13057" width="5.85546875" style="27" customWidth="1"/>
    <col min="13058" max="13058" width="57.28515625" style="27" customWidth="1"/>
    <col min="13059" max="13062" width="20.140625" style="27" customWidth="1"/>
    <col min="13063" max="13063" width="13" style="27" customWidth="1"/>
    <col min="13064" max="13064" width="11.5703125" style="27" customWidth="1"/>
    <col min="13065" max="13066" width="0" style="27" hidden="1" customWidth="1"/>
    <col min="13067" max="13312" width="9.140625" style="27"/>
    <col min="13313" max="13313" width="5.85546875" style="27" customWidth="1"/>
    <col min="13314" max="13314" width="57.28515625" style="27" customWidth="1"/>
    <col min="13315" max="13318" width="20.140625" style="27" customWidth="1"/>
    <col min="13319" max="13319" width="13" style="27" customWidth="1"/>
    <col min="13320" max="13320" width="11.5703125" style="27" customWidth="1"/>
    <col min="13321" max="13322" width="0" style="27" hidden="1" customWidth="1"/>
    <col min="13323" max="13568" width="9.140625" style="27"/>
    <col min="13569" max="13569" width="5.85546875" style="27" customWidth="1"/>
    <col min="13570" max="13570" width="57.28515625" style="27" customWidth="1"/>
    <col min="13571" max="13574" width="20.140625" style="27" customWidth="1"/>
    <col min="13575" max="13575" width="13" style="27" customWidth="1"/>
    <col min="13576" max="13576" width="11.5703125" style="27" customWidth="1"/>
    <col min="13577" max="13578" width="0" style="27" hidden="1" customWidth="1"/>
    <col min="13579" max="13824" width="9.140625" style="27"/>
    <col min="13825" max="13825" width="5.85546875" style="27" customWidth="1"/>
    <col min="13826" max="13826" width="57.28515625" style="27" customWidth="1"/>
    <col min="13827" max="13830" width="20.140625" style="27" customWidth="1"/>
    <col min="13831" max="13831" width="13" style="27" customWidth="1"/>
    <col min="13832" max="13832" width="11.5703125" style="27" customWidth="1"/>
    <col min="13833" max="13834" width="0" style="27" hidden="1" customWidth="1"/>
    <col min="13835" max="14080" width="9.140625" style="27"/>
    <col min="14081" max="14081" width="5.85546875" style="27" customWidth="1"/>
    <col min="14082" max="14082" width="57.28515625" style="27" customWidth="1"/>
    <col min="14083" max="14086" width="20.140625" style="27" customWidth="1"/>
    <col min="14087" max="14087" width="13" style="27" customWidth="1"/>
    <col min="14088" max="14088" width="11.5703125" style="27" customWidth="1"/>
    <col min="14089" max="14090" width="0" style="27" hidden="1" customWidth="1"/>
    <col min="14091" max="14336" width="9.140625" style="27"/>
    <col min="14337" max="14337" width="5.85546875" style="27" customWidth="1"/>
    <col min="14338" max="14338" width="57.28515625" style="27" customWidth="1"/>
    <col min="14339" max="14342" width="20.140625" style="27" customWidth="1"/>
    <col min="14343" max="14343" width="13" style="27" customWidth="1"/>
    <col min="14344" max="14344" width="11.5703125" style="27" customWidth="1"/>
    <col min="14345" max="14346" width="0" style="27" hidden="1" customWidth="1"/>
    <col min="14347" max="14592" width="9.140625" style="27"/>
    <col min="14593" max="14593" width="5.85546875" style="27" customWidth="1"/>
    <col min="14594" max="14594" width="57.28515625" style="27" customWidth="1"/>
    <col min="14595" max="14598" width="20.140625" style="27" customWidth="1"/>
    <col min="14599" max="14599" width="13" style="27" customWidth="1"/>
    <col min="14600" max="14600" width="11.5703125" style="27" customWidth="1"/>
    <col min="14601" max="14602" width="0" style="27" hidden="1" customWidth="1"/>
    <col min="14603" max="14848" width="9.140625" style="27"/>
    <col min="14849" max="14849" width="5.85546875" style="27" customWidth="1"/>
    <col min="14850" max="14850" width="57.28515625" style="27" customWidth="1"/>
    <col min="14851" max="14854" width="20.140625" style="27" customWidth="1"/>
    <col min="14855" max="14855" width="13" style="27" customWidth="1"/>
    <col min="14856" max="14856" width="11.5703125" style="27" customWidth="1"/>
    <col min="14857" max="14858" width="0" style="27" hidden="1" customWidth="1"/>
    <col min="14859" max="15104" width="9.140625" style="27"/>
    <col min="15105" max="15105" width="5.85546875" style="27" customWidth="1"/>
    <col min="15106" max="15106" width="57.28515625" style="27" customWidth="1"/>
    <col min="15107" max="15110" width="20.140625" style="27" customWidth="1"/>
    <col min="15111" max="15111" width="13" style="27" customWidth="1"/>
    <col min="15112" max="15112" width="11.5703125" style="27" customWidth="1"/>
    <col min="15113" max="15114" width="0" style="27" hidden="1" customWidth="1"/>
    <col min="15115" max="15360" width="9.140625" style="27"/>
    <col min="15361" max="15361" width="5.85546875" style="27" customWidth="1"/>
    <col min="15362" max="15362" width="57.28515625" style="27" customWidth="1"/>
    <col min="15363" max="15366" width="20.140625" style="27" customWidth="1"/>
    <col min="15367" max="15367" width="13" style="27" customWidth="1"/>
    <col min="15368" max="15368" width="11.5703125" style="27" customWidth="1"/>
    <col min="15369" max="15370" width="0" style="27" hidden="1" customWidth="1"/>
    <col min="15371" max="15616" width="9.140625" style="27"/>
    <col min="15617" max="15617" width="5.85546875" style="27" customWidth="1"/>
    <col min="15618" max="15618" width="57.28515625" style="27" customWidth="1"/>
    <col min="15619" max="15622" width="20.140625" style="27" customWidth="1"/>
    <col min="15623" max="15623" width="13" style="27" customWidth="1"/>
    <col min="15624" max="15624" width="11.5703125" style="27" customWidth="1"/>
    <col min="15625" max="15626" width="0" style="27" hidden="1" customWidth="1"/>
    <col min="15627" max="15872" width="9.140625" style="27"/>
    <col min="15873" max="15873" width="5.85546875" style="27" customWidth="1"/>
    <col min="15874" max="15874" width="57.28515625" style="27" customWidth="1"/>
    <col min="15875" max="15878" width="20.140625" style="27" customWidth="1"/>
    <col min="15879" max="15879" width="13" style="27" customWidth="1"/>
    <col min="15880" max="15880" width="11.5703125" style="27" customWidth="1"/>
    <col min="15881" max="15882" width="0" style="27" hidden="1" customWidth="1"/>
    <col min="15883" max="16128" width="9.140625" style="27"/>
    <col min="16129" max="16129" width="5.85546875" style="27" customWidth="1"/>
    <col min="16130" max="16130" width="57.28515625" style="27" customWidth="1"/>
    <col min="16131" max="16134" width="20.140625" style="27" customWidth="1"/>
    <col min="16135" max="16135" width="13" style="27" customWidth="1"/>
    <col min="16136" max="16136" width="11.5703125" style="27" customWidth="1"/>
    <col min="16137" max="16138" width="0" style="27" hidden="1" customWidth="1"/>
    <col min="16139" max="16384" width="9.140625" style="27"/>
  </cols>
  <sheetData>
    <row r="1" spans="1:12" ht="21" customHeight="1">
      <c r="A1" s="73" t="s">
        <v>173</v>
      </c>
      <c r="B1" s="24"/>
      <c r="C1" s="25"/>
      <c r="D1" s="25"/>
      <c r="E1" s="25"/>
      <c r="F1" s="25"/>
      <c r="G1" s="26"/>
    </row>
    <row r="2" spans="1:12" ht="19.5">
      <c r="A2" s="160" t="s">
        <v>514</v>
      </c>
      <c r="B2" s="160"/>
      <c r="C2" s="160"/>
      <c r="D2" s="160"/>
      <c r="E2" s="160"/>
      <c r="F2" s="160"/>
      <c r="G2" s="160"/>
      <c r="H2" s="160"/>
    </row>
    <row r="3" spans="1:12" ht="16.5" customHeight="1">
      <c r="A3" s="161" t="s">
        <v>515</v>
      </c>
      <c r="B3" s="161"/>
      <c r="C3" s="161"/>
      <c r="D3" s="161"/>
      <c r="E3" s="161"/>
      <c r="F3" s="161"/>
      <c r="G3" s="161"/>
      <c r="H3" s="161"/>
    </row>
    <row r="4" spans="1:12" ht="6.75" customHeight="1">
      <c r="A4" s="28"/>
      <c r="B4" s="28"/>
      <c r="C4" s="25"/>
      <c r="D4" s="25"/>
      <c r="E4" s="25"/>
      <c r="F4" s="25"/>
      <c r="G4" s="165" t="s">
        <v>429</v>
      </c>
      <c r="H4" s="165"/>
    </row>
    <row r="5" spans="1:12" ht="19.5" customHeight="1" thickBot="1">
      <c r="A5" s="29"/>
      <c r="B5" s="29"/>
      <c r="C5" s="30"/>
      <c r="D5" s="30"/>
      <c r="E5" s="30"/>
      <c r="F5" s="30"/>
      <c r="G5" s="166"/>
      <c r="H5" s="166"/>
    </row>
    <row r="6" spans="1:12" s="34" customFormat="1" ht="22.5" customHeight="1">
      <c r="A6" s="162" t="s">
        <v>134</v>
      </c>
      <c r="B6" s="163" t="s">
        <v>43</v>
      </c>
      <c r="C6" s="164" t="s">
        <v>3</v>
      </c>
      <c r="D6" s="164"/>
      <c r="E6" s="164" t="s">
        <v>4</v>
      </c>
      <c r="F6" s="164"/>
      <c r="G6" s="164" t="s">
        <v>5</v>
      </c>
      <c r="H6" s="164"/>
      <c r="I6" s="32"/>
      <c r="J6" s="33"/>
      <c r="L6" s="35" t="s">
        <v>3</v>
      </c>
    </row>
    <row r="7" spans="1:12" s="34" customFormat="1" ht="44.25" customHeight="1">
      <c r="A7" s="162"/>
      <c r="B7" s="163"/>
      <c r="C7" s="66" t="s">
        <v>174</v>
      </c>
      <c r="D7" s="66" t="s">
        <v>521</v>
      </c>
      <c r="E7" s="66" t="s">
        <v>174</v>
      </c>
      <c r="F7" s="66" t="s">
        <v>521</v>
      </c>
      <c r="G7" s="66" t="s">
        <v>174</v>
      </c>
      <c r="H7" s="66" t="s">
        <v>425</v>
      </c>
      <c r="I7" s="36" t="s">
        <v>175</v>
      </c>
      <c r="J7" s="37" t="s">
        <v>175</v>
      </c>
    </row>
    <row r="8" spans="1:12" s="41" customFormat="1" ht="17.25" customHeight="1">
      <c r="A8" s="38" t="s">
        <v>6</v>
      </c>
      <c r="B8" s="38" t="s">
        <v>23</v>
      </c>
      <c r="C8" s="38">
        <v>1</v>
      </c>
      <c r="D8" s="38">
        <f>C8+1</f>
        <v>2</v>
      </c>
      <c r="E8" s="38">
        <f>D8+1</f>
        <v>3</v>
      </c>
      <c r="F8" s="38">
        <f>E8+1</f>
        <v>4</v>
      </c>
      <c r="G8" s="38" t="s">
        <v>176</v>
      </c>
      <c r="H8" s="38" t="s">
        <v>177</v>
      </c>
      <c r="I8" s="39"/>
      <c r="J8" s="40"/>
    </row>
    <row r="9" spans="1:12" s="30" customFormat="1" ht="24" customHeight="1">
      <c r="A9" s="134"/>
      <c r="B9" s="133" t="s">
        <v>178</v>
      </c>
      <c r="C9" s="202">
        <f>C10+C67+C68+C69</f>
        <v>28130</v>
      </c>
      <c r="D9" s="202">
        <f>D10+D67+D68+D69</f>
        <v>21854.5</v>
      </c>
      <c r="E9" s="203">
        <f>E10+E67+E68+E69</f>
        <v>174500.32169099999</v>
      </c>
      <c r="F9" s="203">
        <f>F10+F67+F68+F69</f>
        <v>164694.33322799997</v>
      </c>
      <c r="G9" s="204">
        <f t="shared" ref="G9:H13" si="0">E9/C9</f>
        <v>6.2033530640241734</v>
      </c>
      <c r="H9" s="204">
        <f t="shared" si="0"/>
        <v>7.5359460627330748</v>
      </c>
      <c r="I9" s="42" t="e">
        <f>SUM(I11,#REF!,#REF!,#REF!,#REF!,#REF!)</f>
        <v>#REF!</v>
      </c>
      <c r="J9" s="43" t="e">
        <f>SUM(J11,#REF!,#REF!,#REF!,#REF!,#REF!)</f>
        <v>#REF!</v>
      </c>
    </row>
    <row r="10" spans="1:12" s="30" customFormat="1" ht="18.75">
      <c r="A10" s="134" t="s">
        <v>6</v>
      </c>
      <c r="B10" s="193" t="s">
        <v>179</v>
      </c>
      <c r="C10" s="202">
        <f>C11+C58+C59+C66</f>
        <v>28130</v>
      </c>
      <c r="D10" s="202">
        <f>D11+D58+D59+D66</f>
        <v>21854.5</v>
      </c>
      <c r="E10" s="203">
        <f>E11+E58+E59+E66</f>
        <v>37052.939186000003</v>
      </c>
      <c r="F10" s="203">
        <f>F11+F58+F59+F66</f>
        <v>27246.950723000002</v>
      </c>
      <c r="G10" s="204">
        <f t="shared" si="0"/>
        <v>1.3172036681834343</v>
      </c>
      <c r="H10" s="204">
        <f t="shared" si="0"/>
        <v>1.2467432667414033</v>
      </c>
      <c r="I10" s="42" t="e">
        <f>SUM(I12,#REF!,#REF!,#REF!,#REF!,#REF!)</f>
        <v>#REF!</v>
      </c>
      <c r="J10" s="43" t="e">
        <f>SUM(J12,#REF!,#REF!,#REF!,#REF!,#REF!)</f>
        <v>#REF!</v>
      </c>
    </row>
    <row r="11" spans="1:12" s="30" customFormat="1" ht="18.75">
      <c r="A11" s="134" t="s">
        <v>8</v>
      </c>
      <c r="B11" s="193" t="s">
        <v>180</v>
      </c>
      <c r="C11" s="202">
        <f>C12+C15+C21+C24+C31+C32+C33+C40+C41+C42+C43+C45+C44+C48+C49</f>
        <v>28130</v>
      </c>
      <c r="D11" s="202">
        <f>D12+D15+D21+D24+D31+D32+D33+D40+D41+D42+D43+D45+D44+D48+D49</f>
        <v>21854.5</v>
      </c>
      <c r="E11" s="203">
        <f>E12+E15+E21+E24+E31+E32+E33+E40+E41+E42+E43+E45+E44+E48+E49</f>
        <v>37052.939186000003</v>
      </c>
      <c r="F11" s="203">
        <f>F12+F15+F21+F24+F31+F32+F33+F40+F41+F42+F43+F45+F44+F48+F49</f>
        <v>27246.950723000002</v>
      </c>
      <c r="G11" s="204">
        <f t="shared" si="0"/>
        <v>1.3172036681834343</v>
      </c>
      <c r="H11" s="204">
        <f t="shared" si="0"/>
        <v>1.2467432667414033</v>
      </c>
      <c r="I11" s="44" t="e">
        <f>SUM(I12,#REF!,#REF!,#REF!,#REF!,#REF!,#REF!,#REF!,#REF!,#REF!,#REF!,#REF!,#REF!,#REF!,#REF!,#REF!)</f>
        <v>#REF!</v>
      </c>
      <c r="J11" s="45" t="e">
        <f>SUM(J12,#REF!,#REF!,#REF!,#REF!,#REF!,#REF!,#REF!,#REF!,#REF!,#REF!,#REF!,#REF!,#REF!,#REF!,#REF!)</f>
        <v>#REF!</v>
      </c>
    </row>
    <row r="12" spans="1:12" s="61" customFormat="1" ht="18.75">
      <c r="A12" s="134">
        <v>1</v>
      </c>
      <c r="B12" s="193" t="s">
        <v>181</v>
      </c>
      <c r="C12" s="202">
        <f>SUM(C13:C14)</f>
        <v>300</v>
      </c>
      <c r="D12" s="202">
        <f>SUM(D13:D14)</f>
        <v>45</v>
      </c>
      <c r="E12" s="203">
        <f>SUM(E13:E14)</f>
        <v>931.10041200000001</v>
      </c>
      <c r="F12" s="203">
        <f>SUM(F13:F14)</f>
        <v>139.665075</v>
      </c>
      <c r="G12" s="204">
        <f t="shared" si="0"/>
        <v>3.1036680400000001</v>
      </c>
      <c r="H12" s="204">
        <f t="shared" si="0"/>
        <v>3.1036683333333333</v>
      </c>
      <c r="I12" s="44" t="e">
        <f>SUM(I13,I21,I32,I33,I34,I38,I41,I42,#REF!)</f>
        <v>#REF!</v>
      </c>
      <c r="J12" s="45" t="e">
        <f>SUM(J13,J21,J32,J33,J34,J38,J41,J42,#REF!)</f>
        <v>#REF!</v>
      </c>
    </row>
    <row r="13" spans="1:12" s="30" customFormat="1" ht="18.75">
      <c r="A13" s="194" t="s">
        <v>12</v>
      </c>
      <c r="B13" s="205" t="s">
        <v>182</v>
      </c>
      <c r="C13" s="206">
        <v>300</v>
      </c>
      <c r="D13" s="206">
        <f>C13*15%</f>
        <v>45</v>
      </c>
      <c r="E13" s="207">
        <v>930.39591199999995</v>
      </c>
      <c r="F13" s="207">
        <v>139.55940000000001</v>
      </c>
      <c r="G13" s="208">
        <f t="shared" si="0"/>
        <v>3.1013197066666667</v>
      </c>
      <c r="H13" s="208">
        <f t="shared" si="0"/>
        <v>3.1013200000000003</v>
      </c>
      <c r="I13" s="48" t="e">
        <f>#REF!-#REF!</f>
        <v>#REF!</v>
      </c>
      <c r="J13" s="49" t="e">
        <f>#REF!-#REF!</f>
        <v>#REF!</v>
      </c>
    </row>
    <row r="14" spans="1:12" s="30" customFormat="1" ht="18.75">
      <c r="A14" s="194" t="s">
        <v>12</v>
      </c>
      <c r="B14" s="205" t="s">
        <v>183</v>
      </c>
      <c r="C14" s="206"/>
      <c r="D14" s="206"/>
      <c r="E14" s="207">
        <v>0.70450000000000002</v>
      </c>
      <c r="F14" s="207">
        <v>0.10567500000000001</v>
      </c>
      <c r="G14" s="208"/>
      <c r="H14" s="208"/>
      <c r="I14" s="48"/>
      <c r="J14" s="49"/>
    </row>
    <row r="15" spans="1:12" s="61" customFormat="1" ht="18.75">
      <c r="A15" s="209" t="s">
        <v>18</v>
      </c>
      <c r="B15" s="193" t="s">
        <v>184</v>
      </c>
      <c r="C15" s="202">
        <f>SUM(C16:C18)</f>
        <v>1840</v>
      </c>
      <c r="D15" s="202">
        <f>SUM(D16:D18)</f>
        <v>265</v>
      </c>
      <c r="E15" s="203">
        <f>SUM(E16:E18)</f>
        <v>2280.345992</v>
      </c>
      <c r="F15" s="203">
        <f>SUM(F16:F18)</f>
        <v>331.23008200000004</v>
      </c>
      <c r="G15" s="204">
        <f t="shared" ref="G15:H18" si="1">E15/C15</f>
        <v>1.2393184739130434</v>
      </c>
      <c r="H15" s="204">
        <f t="shared" si="1"/>
        <v>1.2499248377358492</v>
      </c>
      <c r="I15" s="59" t="e">
        <f>#REF!-#REF!</f>
        <v>#REF!</v>
      </c>
      <c r="J15" s="60" t="e">
        <f>#REF!-#REF!</f>
        <v>#REF!</v>
      </c>
    </row>
    <row r="16" spans="1:12" s="30" customFormat="1" ht="18.75">
      <c r="A16" s="194" t="s">
        <v>12</v>
      </c>
      <c r="B16" s="205" t="s">
        <v>182</v>
      </c>
      <c r="C16" s="206">
        <v>70</v>
      </c>
      <c r="D16" s="206">
        <f>C16*15%</f>
        <v>10.5</v>
      </c>
      <c r="E16" s="207">
        <v>31.650857000000002</v>
      </c>
      <c r="F16" s="207">
        <v>4.7476310000000002</v>
      </c>
      <c r="G16" s="208">
        <f t="shared" si="1"/>
        <v>0.45215510000000003</v>
      </c>
      <c r="H16" s="208">
        <f t="shared" si="1"/>
        <v>0.45215533333333335</v>
      </c>
      <c r="I16" s="48" t="e">
        <f>#REF!-#REF!</f>
        <v>#REF!</v>
      </c>
      <c r="J16" s="49" t="e">
        <f>#REF!-#REF!</f>
        <v>#REF!</v>
      </c>
    </row>
    <row r="17" spans="1:12" s="30" customFormat="1" ht="18.75">
      <c r="A17" s="194" t="s">
        <v>12</v>
      </c>
      <c r="B17" s="205" t="s">
        <v>183</v>
      </c>
      <c r="C17" s="206">
        <v>1630</v>
      </c>
      <c r="D17" s="206">
        <f>C17*15%</f>
        <v>244.5</v>
      </c>
      <c r="E17" s="207">
        <v>2176.549638</v>
      </c>
      <c r="F17" s="207">
        <v>326.48245100000003</v>
      </c>
      <c r="G17" s="208">
        <f t="shared" si="1"/>
        <v>1.3353065263803681</v>
      </c>
      <c r="H17" s="208">
        <f t="shared" si="1"/>
        <v>1.3353065480572599</v>
      </c>
      <c r="I17" s="48"/>
      <c r="J17" s="49"/>
    </row>
    <row r="18" spans="1:12" s="30" customFormat="1" ht="18.75">
      <c r="A18" s="194" t="s">
        <v>12</v>
      </c>
      <c r="B18" s="205" t="s">
        <v>185</v>
      </c>
      <c r="C18" s="206">
        <f>SUM(C19:C20)</f>
        <v>140</v>
      </c>
      <c r="D18" s="206">
        <f t="shared" ref="D18:F18" si="2">SUM(D19:D20)</f>
        <v>10</v>
      </c>
      <c r="E18" s="207">
        <f t="shared" si="2"/>
        <v>72.145497000000006</v>
      </c>
      <c r="F18" s="207">
        <f t="shared" si="2"/>
        <v>0</v>
      </c>
      <c r="G18" s="208">
        <f t="shared" si="1"/>
        <v>0.51532497857142856</v>
      </c>
      <c r="H18" s="208">
        <f t="shared" si="1"/>
        <v>0</v>
      </c>
      <c r="I18" s="48"/>
      <c r="J18" s="49"/>
      <c r="K18" s="30">
        <v>149.92146199999999</v>
      </c>
    </row>
    <row r="19" spans="1:12" s="31" customFormat="1" ht="18.75">
      <c r="A19" s="210"/>
      <c r="B19" s="211" t="s">
        <v>401</v>
      </c>
      <c r="C19" s="212">
        <v>130</v>
      </c>
      <c r="D19" s="212"/>
      <c r="E19" s="213">
        <v>62.803091000000002</v>
      </c>
      <c r="F19" s="213"/>
      <c r="G19" s="214">
        <f t="shared" ref="G19" si="3">E19/C19</f>
        <v>0.48310069999999999</v>
      </c>
      <c r="H19" s="214"/>
      <c r="I19" s="46"/>
      <c r="J19" s="47"/>
      <c r="K19" s="111">
        <f>K18-E18</f>
        <v>77.775964999999985</v>
      </c>
    </row>
    <row r="20" spans="1:12" s="31" customFormat="1" ht="18.75">
      <c r="A20" s="210"/>
      <c r="B20" s="211" t="s">
        <v>400</v>
      </c>
      <c r="C20" s="212">
        <v>10</v>
      </c>
      <c r="D20" s="212">
        <f>C20</f>
        <v>10</v>
      </c>
      <c r="E20" s="213">
        <v>9.3424060000000004</v>
      </c>
      <c r="F20" s="213"/>
      <c r="G20" s="214">
        <f t="shared" ref="G20" si="4">E20/C20</f>
        <v>0.93424060000000009</v>
      </c>
      <c r="H20" s="214">
        <f t="shared" ref="H20" si="5">F20/D20</f>
        <v>0</v>
      </c>
      <c r="I20" s="46"/>
      <c r="J20" s="47"/>
      <c r="L20" s="111">
        <f>E18-E19</f>
        <v>9.342406000000004</v>
      </c>
    </row>
    <row r="21" spans="1:12" s="61" customFormat="1" ht="21.95" customHeight="1">
      <c r="A21" s="209" t="s">
        <v>27</v>
      </c>
      <c r="B21" s="193" t="s">
        <v>186</v>
      </c>
      <c r="C21" s="202">
        <f>SUM(C22:C23)</f>
        <v>0</v>
      </c>
      <c r="D21" s="202">
        <f>SUM(D22:D23)</f>
        <v>0</v>
      </c>
      <c r="E21" s="203">
        <f>SUM(E22:E23)</f>
        <v>279.53488300000004</v>
      </c>
      <c r="F21" s="203">
        <f>SUM(F22:F23)</f>
        <v>146.01223999999999</v>
      </c>
      <c r="G21" s="204"/>
      <c r="H21" s="204"/>
      <c r="I21" s="59" t="e">
        <f>#REF!-#REF!</f>
        <v>#REF!</v>
      </c>
      <c r="J21" s="60" t="e">
        <f>#REF!-#REF!</f>
        <v>#REF!</v>
      </c>
    </row>
    <row r="22" spans="1:12" s="30" customFormat="1" ht="18.75">
      <c r="A22" s="194" t="s">
        <v>12</v>
      </c>
      <c r="B22" s="205" t="s">
        <v>182</v>
      </c>
      <c r="C22" s="206"/>
      <c r="D22" s="206">
        <f>C22*15%</f>
        <v>0</v>
      </c>
      <c r="E22" s="207">
        <v>130.846304</v>
      </c>
      <c r="F22" s="207">
        <v>19.626946</v>
      </c>
      <c r="G22" s="208"/>
      <c r="H22" s="208"/>
      <c r="I22" s="48"/>
      <c r="J22" s="49"/>
    </row>
    <row r="23" spans="1:12" s="30" customFormat="1" ht="18.75">
      <c r="A23" s="194" t="s">
        <v>12</v>
      </c>
      <c r="B23" s="205" t="s">
        <v>183</v>
      </c>
      <c r="C23" s="206"/>
      <c r="D23" s="206">
        <f>C23*15%</f>
        <v>0</v>
      </c>
      <c r="E23" s="207">
        <v>148.688579</v>
      </c>
      <c r="F23" s="207">
        <v>126.385294</v>
      </c>
      <c r="G23" s="208"/>
      <c r="H23" s="208"/>
      <c r="I23" s="48"/>
      <c r="J23" s="49"/>
    </row>
    <row r="24" spans="1:12" s="61" customFormat="1" ht="18.75">
      <c r="A24" s="209" t="s">
        <v>28</v>
      </c>
      <c r="B24" s="193" t="s">
        <v>187</v>
      </c>
      <c r="C24" s="202">
        <f>SUM(C25:C28)</f>
        <v>8500</v>
      </c>
      <c r="D24" s="202">
        <f>SUM(D25:D28)</f>
        <v>7151.5</v>
      </c>
      <c r="E24" s="203">
        <f>SUM(E25:E28)</f>
        <v>17561.179743000001</v>
      </c>
      <c r="F24" s="203">
        <f>SUM(F25:F28)</f>
        <v>15028.699817999999</v>
      </c>
      <c r="G24" s="204">
        <f>E24/C24</f>
        <v>2.0660211462352942</v>
      </c>
      <c r="H24" s="204">
        <f>F24/D24</f>
        <v>2.1014751895406558</v>
      </c>
      <c r="I24" s="59" t="e">
        <f>#REF!-#REF!</f>
        <v>#REF!</v>
      </c>
      <c r="J24" s="60" t="e">
        <f>#REF!-#REF!</f>
        <v>#REF!</v>
      </c>
    </row>
    <row r="25" spans="1:12" s="30" customFormat="1" ht="18.75">
      <c r="A25" s="194" t="s">
        <v>12</v>
      </c>
      <c r="B25" s="205" t="s">
        <v>182</v>
      </c>
      <c r="C25" s="206">
        <v>5290</v>
      </c>
      <c r="D25" s="206">
        <f>C25*85%</f>
        <v>4496.5</v>
      </c>
      <c r="E25" s="207">
        <v>11271.123603999999</v>
      </c>
      <c r="F25" s="207">
        <v>9580.4552769999991</v>
      </c>
      <c r="G25" s="208">
        <f>E25/C25</f>
        <v>2.1306471841209826</v>
      </c>
      <c r="H25" s="208">
        <f>F25/D25</f>
        <v>2.1306472316245966</v>
      </c>
      <c r="I25" s="48" t="e">
        <f>#REF!-#REF!</f>
        <v>#REF!</v>
      </c>
      <c r="J25" s="49" t="e">
        <f>#REF!-#REF!</f>
        <v>#REF!</v>
      </c>
    </row>
    <row r="26" spans="1:12" s="30" customFormat="1" ht="18.75">
      <c r="A26" s="194" t="s">
        <v>12</v>
      </c>
      <c r="B26" s="205" t="s">
        <v>183</v>
      </c>
      <c r="C26" s="206">
        <v>300</v>
      </c>
      <c r="D26" s="206">
        <f>C26*85%</f>
        <v>255</v>
      </c>
      <c r="E26" s="207">
        <v>355.78086999999999</v>
      </c>
      <c r="F26" s="207">
        <v>302.41376400000001</v>
      </c>
      <c r="G26" s="208">
        <f t="shared" ref="G26:G28" si="6">E26/C26</f>
        <v>1.1859362333333332</v>
      </c>
      <c r="H26" s="208">
        <f t="shared" ref="H26:H28" si="7">F26/D26</f>
        <v>1.1859363294117649</v>
      </c>
      <c r="I26" s="48"/>
      <c r="J26" s="49"/>
    </row>
    <row r="27" spans="1:12" s="30" customFormat="1" ht="18.75">
      <c r="A27" s="194" t="s">
        <v>12</v>
      </c>
      <c r="B27" s="205" t="s">
        <v>188</v>
      </c>
      <c r="C27" s="206">
        <v>70</v>
      </c>
      <c r="D27" s="206">
        <f>C27</f>
        <v>70</v>
      </c>
      <c r="E27" s="207">
        <v>32.161664999999999</v>
      </c>
      <c r="F27" s="207">
        <v>32.161664999999999</v>
      </c>
      <c r="G27" s="208">
        <f t="shared" si="6"/>
        <v>0.45945235714285715</v>
      </c>
      <c r="H27" s="208">
        <f t="shared" si="7"/>
        <v>0.45945235714285715</v>
      </c>
      <c r="I27" s="48"/>
      <c r="J27" s="49"/>
    </row>
    <row r="28" spans="1:12" s="30" customFormat="1" ht="18.75">
      <c r="A28" s="194" t="s">
        <v>12</v>
      </c>
      <c r="B28" s="205" t="s">
        <v>185</v>
      </c>
      <c r="C28" s="206">
        <f>SUM(C29:C30)</f>
        <v>2840</v>
      </c>
      <c r="D28" s="206">
        <f t="shared" ref="D28:F28" si="8">SUM(D29:D30)</f>
        <v>2330</v>
      </c>
      <c r="E28" s="207">
        <f t="shared" si="8"/>
        <v>5902.1136040000001</v>
      </c>
      <c r="F28" s="207">
        <f t="shared" si="8"/>
        <v>5113.6691119999996</v>
      </c>
      <c r="G28" s="208">
        <f t="shared" si="6"/>
        <v>2.0782090154929578</v>
      </c>
      <c r="H28" s="208">
        <f t="shared" si="7"/>
        <v>2.1947077733905576</v>
      </c>
      <c r="I28" s="48"/>
      <c r="J28" s="49"/>
    </row>
    <row r="29" spans="1:12" s="31" customFormat="1" ht="18.75">
      <c r="A29" s="210"/>
      <c r="B29" s="211" t="s">
        <v>399</v>
      </c>
      <c r="C29" s="212">
        <v>1700</v>
      </c>
      <c r="D29" s="212">
        <f>C29*70%</f>
        <v>1190</v>
      </c>
      <c r="E29" s="213">
        <v>2586.0823289999998</v>
      </c>
      <c r="F29" s="213">
        <v>1810.2576369999999</v>
      </c>
      <c r="G29" s="214">
        <f t="shared" ref="G29:G30" si="9">E29/C29</f>
        <v>1.5212248994117645</v>
      </c>
      <c r="H29" s="214">
        <f t="shared" ref="H29:H30" si="10">F29/D29</f>
        <v>1.5212249050420168</v>
      </c>
      <c r="I29" s="46"/>
      <c r="J29" s="47"/>
    </row>
    <row r="30" spans="1:12" s="31" customFormat="1" ht="18.75">
      <c r="A30" s="210"/>
      <c r="B30" s="211" t="s">
        <v>400</v>
      </c>
      <c r="C30" s="212">
        <v>1140</v>
      </c>
      <c r="D30" s="212">
        <f>C30</f>
        <v>1140</v>
      </c>
      <c r="E30" s="213">
        <f>5902.113604-E29</f>
        <v>3316.0312750000003</v>
      </c>
      <c r="F30" s="213">
        <f>5113.669112-F29</f>
        <v>3303.4114749999999</v>
      </c>
      <c r="G30" s="214">
        <f t="shared" si="9"/>
        <v>2.908799364035088</v>
      </c>
      <c r="H30" s="214">
        <f t="shared" si="10"/>
        <v>2.8977293640350874</v>
      </c>
      <c r="I30" s="46"/>
      <c r="J30" s="47"/>
    </row>
    <row r="31" spans="1:12" s="61" customFormat="1" ht="18.75">
      <c r="A31" s="209" t="s">
        <v>29</v>
      </c>
      <c r="B31" s="193" t="s">
        <v>189</v>
      </c>
      <c r="C31" s="202">
        <v>1700</v>
      </c>
      <c r="D31" s="202">
        <f>C31*90%</f>
        <v>1530</v>
      </c>
      <c r="E31" s="203">
        <v>2295.961358</v>
      </c>
      <c r="F31" s="203">
        <v>2066.3652910000001</v>
      </c>
      <c r="G31" s="204">
        <f t="shared" ref="G31:H33" si="11">E31/C31</f>
        <v>1.3505655047058824</v>
      </c>
      <c r="H31" s="204">
        <f t="shared" si="11"/>
        <v>1.3505655496732027</v>
      </c>
      <c r="I31" s="59" t="e">
        <f>#REF!-#REF!</f>
        <v>#REF!</v>
      </c>
      <c r="J31" s="60" t="e">
        <f>#REF!-#REF!</f>
        <v>#REF!</v>
      </c>
    </row>
    <row r="32" spans="1:12" s="61" customFormat="1" ht="18.75">
      <c r="A32" s="209" t="s">
        <v>30</v>
      </c>
      <c r="B32" s="193" t="s">
        <v>190</v>
      </c>
      <c r="C32" s="202">
        <v>2000</v>
      </c>
      <c r="D32" s="202">
        <f>C32</f>
        <v>2000</v>
      </c>
      <c r="E32" s="203">
        <v>2500.878483</v>
      </c>
      <c r="F32" s="203">
        <f>E32</f>
        <v>2500.878483</v>
      </c>
      <c r="G32" s="204">
        <f t="shared" si="11"/>
        <v>1.2504392415000001</v>
      </c>
      <c r="H32" s="204">
        <f t="shared" si="11"/>
        <v>1.2504392415000001</v>
      </c>
      <c r="I32" s="59" t="e">
        <f>#REF!-#REF!</f>
        <v>#REF!</v>
      </c>
      <c r="J32" s="60" t="e">
        <f>#REF!-#REF!</f>
        <v>#REF!</v>
      </c>
    </row>
    <row r="33" spans="1:10" s="61" customFormat="1" ht="18.75">
      <c r="A33" s="209" t="s">
        <v>31</v>
      </c>
      <c r="B33" s="193" t="s">
        <v>191</v>
      </c>
      <c r="C33" s="202">
        <f>SUM(C34:C35)</f>
        <v>1350</v>
      </c>
      <c r="D33" s="203">
        <f t="shared" ref="D33:F33" si="12">SUM(D34:D35)</f>
        <v>1299</v>
      </c>
      <c r="E33" s="203">
        <f t="shared" si="12"/>
        <v>2169.1559649999999</v>
      </c>
      <c r="F33" s="203">
        <f t="shared" si="12"/>
        <v>1994.6409650000001</v>
      </c>
      <c r="G33" s="204">
        <f t="shared" si="11"/>
        <v>1.6067821962962963</v>
      </c>
      <c r="H33" s="204">
        <f t="shared" si="11"/>
        <v>1.5355203733641263</v>
      </c>
      <c r="I33" s="59" t="e">
        <f>#REF!-#REF!</f>
        <v>#REF!</v>
      </c>
      <c r="J33" s="60" t="e">
        <f>#REF!-#REF!</f>
        <v>#REF!</v>
      </c>
    </row>
    <row r="34" spans="1:10" s="30" customFormat="1" ht="18.75">
      <c r="A34" s="194" t="s">
        <v>12</v>
      </c>
      <c r="B34" s="195" t="s">
        <v>192</v>
      </c>
      <c r="C34" s="206">
        <v>51</v>
      </c>
      <c r="D34" s="206"/>
      <c r="E34" s="207">
        <v>176.51499999999999</v>
      </c>
      <c r="F34" s="207">
        <v>2</v>
      </c>
      <c r="G34" s="208">
        <f t="shared" ref="G34:G35" si="13">E34/C34</f>
        <v>3.4610784313725489</v>
      </c>
      <c r="H34" s="208"/>
      <c r="I34" s="48" t="e">
        <f>#REF!-#REF!</f>
        <v>#REF!</v>
      </c>
      <c r="J34" s="49" t="e">
        <f>#REF!-#REF!</f>
        <v>#REF!</v>
      </c>
    </row>
    <row r="35" spans="1:10" s="30" customFormat="1" ht="18.75">
      <c r="A35" s="194" t="s">
        <v>12</v>
      </c>
      <c r="B35" s="195" t="s">
        <v>516</v>
      </c>
      <c r="C35" s="215">
        <v>1299</v>
      </c>
      <c r="D35" s="206">
        <f>C35</f>
        <v>1299</v>
      </c>
      <c r="E35" s="207">
        <f>SUM(E36:E38)</f>
        <v>1992.6409650000001</v>
      </c>
      <c r="F35" s="207">
        <f>SUM(F36:F38)</f>
        <v>1992.6409650000001</v>
      </c>
      <c r="G35" s="208">
        <f t="shared" si="13"/>
        <v>1.5339807274826791</v>
      </c>
      <c r="H35" s="208">
        <f t="shared" ref="H35" si="14">F35/D35</f>
        <v>1.5339807274826791</v>
      </c>
      <c r="I35" s="48"/>
      <c r="J35" s="49"/>
    </row>
    <row r="36" spans="1:10" s="30" customFormat="1" ht="18.75">
      <c r="A36" s="194"/>
      <c r="B36" s="216" t="s">
        <v>517</v>
      </c>
      <c r="C36" s="215"/>
      <c r="D36" s="206"/>
      <c r="E36" s="217">
        <v>919.17008499999997</v>
      </c>
      <c r="F36" s="207">
        <f>E36</f>
        <v>919.17008499999997</v>
      </c>
      <c r="G36" s="208"/>
      <c r="H36" s="208"/>
      <c r="I36" s="48" t="e">
        <f>#REF!-#REF!</f>
        <v>#REF!</v>
      </c>
      <c r="J36" s="49" t="e">
        <f>#REF!-#REF!</f>
        <v>#REF!</v>
      </c>
    </row>
    <row r="37" spans="1:10" s="30" customFormat="1" ht="18.75">
      <c r="A37" s="194"/>
      <c r="B37" s="216" t="s">
        <v>518</v>
      </c>
      <c r="C37" s="215"/>
      <c r="D37" s="206"/>
      <c r="E37" s="217">
        <v>919.16105900000002</v>
      </c>
      <c r="F37" s="207">
        <f t="shared" ref="F37:F38" si="15">E37</f>
        <v>919.16105900000002</v>
      </c>
      <c r="G37" s="208"/>
      <c r="H37" s="208"/>
      <c r="I37" s="48" t="e">
        <f>#REF!-#REF!</f>
        <v>#REF!</v>
      </c>
      <c r="J37" s="49" t="e">
        <f>#REF!-#REF!</f>
        <v>#REF!</v>
      </c>
    </row>
    <row r="38" spans="1:10" s="30" customFormat="1" ht="18.75">
      <c r="A38" s="194"/>
      <c r="B38" s="216" t="s">
        <v>519</v>
      </c>
      <c r="C38" s="215"/>
      <c r="D38" s="206"/>
      <c r="E38" s="217">
        <v>154.309821</v>
      </c>
      <c r="F38" s="207">
        <f t="shared" si="15"/>
        <v>154.309821</v>
      </c>
      <c r="G38" s="208"/>
      <c r="H38" s="208"/>
      <c r="I38" s="48" t="e">
        <f>#REF!-#REF!</f>
        <v>#REF!</v>
      </c>
      <c r="J38" s="49" t="e">
        <f>#REF!-#REF!</f>
        <v>#REF!</v>
      </c>
    </row>
    <row r="39" spans="1:10" s="31" customFormat="1" ht="18.75">
      <c r="A39" s="210"/>
      <c r="B39" s="218" t="s">
        <v>520</v>
      </c>
      <c r="C39" s="219">
        <v>50</v>
      </c>
      <c r="D39" s="212">
        <v>50</v>
      </c>
      <c r="E39" s="220">
        <v>22.685614999999999</v>
      </c>
      <c r="F39" s="213">
        <v>22.685614999999999</v>
      </c>
      <c r="G39" s="214">
        <f t="shared" ref="G39" si="16">E39/C39</f>
        <v>0.45371229999999996</v>
      </c>
      <c r="H39" s="214">
        <f t="shared" ref="H39" si="17">F39/D39</f>
        <v>0.45371229999999996</v>
      </c>
      <c r="I39" s="46"/>
      <c r="J39" s="47"/>
    </row>
    <row r="40" spans="1:10" s="61" customFormat="1" ht="18.75">
      <c r="A40" s="209" t="s">
        <v>32</v>
      </c>
      <c r="B40" s="193" t="s">
        <v>239</v>
      </c>
      <c r="C40" s="202"/>
      <c r="D40" s="202"/>
      <c r="E40" s="203"/>
      <c r="F40" s="203">
        <f>E40</f>
        <v>0</v>
      </c>
      <c r="G40" s="204"/>
      <c r="H40" s="204"/>
      <c r="I40" s="59" t="e">
        <f>#REF!-#REF!</f>
        <v>#REF!</v>
      </c>
      <c r="J40" s="60" t="e">
        <f>#REF!-#REF!</f>
        <v>#REF!</v>
      </c>
    </row>
    <row r="41" spans="1:10" s="61" customFormat="1" ht="18.75">
      <c r="A41" s="209" t="s">
        <v>33</v>
      </c>
      <c r="B41" s="193" t="s">
        <v>193</v>
      </c>
      <c r="C41" s="202">
        <v>30</v>
      </c>
      <c r="D41" s="202">
        <f>C41</f>
        <v>30</v>
      </c>
      <c r="E41" s="203">
        <v>27.07385</v>
      </c>
      <c r="F41" s="203">
        <f>E41</f>
        <v>27.07385</v>
      </c>
      <c r="G41" s="204">
        <f>E41/C41</f>
        <v>0.90246166666666672</v>
      </c>
      <c r="H41" s="204">
        <f>F41/D41</f>
        <v>0.90246166666666672</v>
      </c>
      <c r="I41" s="59" t="e">
        <f>#REF!-#REF!</f>
        <v>#REF!</v>
      </c>
      <c r="J41" s="60" t="e">
        <f>#REF!-#REF!</f>
        <v>#REF!</v>
      </c>
    </row>
    <row r="42" spans="1:10" s="61" customFormat="1" ht="18.75">
      <c r="A42" s="209" t="s">
        <v>34</v>
      </c>
      <c r="B42" s="193" t="s">
        <v>194</v>
      </c>
      <c r="C42" s="202">
        <v>180</v>
      </c>
      <c r="D42" s="202">
        <f>C42*80%</f>
        <v>144</v>
      </c>
      <c r="E42" s="203">
        <v>142.17538300000001</v>
      </c>
      <c r="F42" s="203">
        <v>113.74031100000001</v>
      </c>
      <c r="G42" s="204">
        <f>E42/C42</f>
        <v>0.78986323888888899</v>
      </c>
      <c r="H42" s="204">
        <f>F42/D42</f>
        <v>0.78986327083333341</v>
      </c>
      <c r="I42" s="59" t="e">
        <f>#REF!-#REF!</f>
        <v>#REF!</v>
      </c>
      <c r="J42" s="60" t="e">
        <f>#REF!-#REF!</f>
        <v>#REF!</v>
      </c>
    </row>
    <row r="43" spans="1:10" s="61" customFormat="1" ht="18.75">
      <c r="A43" s="209" t="s">
        <v>35</v>
      </c>
      <c r="B43" s="193" t="s">
        <v>195</v>
      </c>
      <c r="C43" s="202">
        <v>9000</v>
      </c>
      <c r="D43" s="202">
        <f>C43*88%</f>
        <v>7920</v>
      </c>
      <c r="E43" s="203">
        <v>3079.8292999999999</v>
      </c>
      <c r="F43" s="203">
        <v>2710.2497840000001</v>
      </c>
      <c r="G43" s="204">
        <f t="shared" ref="G43:G45" si="18">E43/C43</f>
        <v>0.34220325555555553</v>
      </c>
      <c r="H43" s="204">
        <f t="shared" ref="H43:H45" si="19">F43/D43</f>
        <v>0.34220325555555559</v>
      </c>
      <c r="I43" s="59" t="e">
        <f>#REF!-#REF!</f>
        <v>#REF!</v>
      </c>
      <c r="J43" s="60" t="e">
        <f>#REF!-#REF!</f>
        <v>#REF!</v>
      </c>
    </row>
    <row r="44" spans="1:10" s="61" customFormat="1" ht="18.75" customHeight="1">
      <c r="A44" s="209" t="s">
        <v>36</v>
      </c>
      <c r="B44" s="193" t="s">
        <v>386</v>
      </c>
      <c r="C44" s="202"/>
      <c r="D44" s="202"/>
      <c r="E44" s="203"/>
      <c r="F44" s="203"/>
      <c r="G44" s="204"/>
      <c r="H44" s="204"/>
      <c r="I44" s="59"/>
      <c r="J44" s="62"/>
    </row>
    <row r="45" spans="1:10" s="61" customFormat="1" ht="18.75">
      <c r="A45" s="209" t="s">
        <v>37</v>
      </c>
      <c r="B45" s="193" t="s">
        <v>196</v>
      </c>
      <c r="C45" s="202">
        <f>SUM(C46:C47)</f>
        <v>1030</v>
      </c>
      <c r="D45" s="202">
        <f>SUM(D46:D47)</f>
        <v>270</v>
      </c>
      <c r="E45" s="203">
        <f t="shared" ref="E45:F45" si="20">SUM(E46:E47)</f>
        <v>1463.3474970000002</v>
      </c>
      <c r="F45" s="203">
        <f t="shared" si="20"/>
        <v>1099.3234970000001</v>
      </c>
      <c r="G45" s="204">
        <f t="shared" si="18"/>
        <v>1.4207257252427186</v>
      </c>
      <c r="H45" s="204">
        <f t="shared" si="19"/>
        <v>4.0715685074074077</v>
      </c>
      <c r="I45" s="59"/>
      <c r="J45" s="62"/>
    </row>
    <row r="46" spans="1:10" s="30" customFormat="1" ht="18.75">
      <c r="A46" s="194" t="s">
        <v>12</v>
      </c>
      <c r="B46" s="195" t="s">
        <v>427</v>
      </c>
      <c r="C46" s="206">
        <v>760</v>
      </c>
      <c r="D46" s="206"/>
      <c r="E46" s="207">
        <v>364.024</v>
      </c>
      <c r="F46" s="207"/>
      <c r="G46" s="208">
        <f>E46/C46</f>
        <v>0.47897894736842106</v>
      </c>
      <c r="H46" s="208"/>
      <c r="I46" s="48"/>
      <c r="J46" s="110"/>
    </row>
    <row r="47" spans="1:10" s="30" customFormat="1" ht="18.75">
      <c r="A47" s="194" t="s">
        <v>12</v>
      </c>
      <c r="B47" s="195" t="s">
        <v>428</v>
      </c>
      <c r="C47" s="206">
        <v>270</v>
      </c>
      <c r="D47" s="206">
        <f>C47</f>
        <v>270</v>
      </c>
      <c r="E47" s="207">
        <v>1099.3234970000001</v>
      </c>
      <c r="F47" s="207">
        <f>E47</f>
        <v>1099.3234970000001</v>
      </c>
      <c r="G47" s="208">
        <f>E47/C47</f>
        <v>4.0715685074074077</v>
      </c>
      <c r="H47" s="208">
        <f>F47/D47</f>
        <v>4.0715685074074077</v>
      </c>
      <c r="I47" s="48"/>
      <c r="J47" s="110"/>
    </row>
    <row r="48" spans="1:10" s="61" customFormat="1" ht="18.75" customHeight="1">
      <c r="A48" s="209" t="s">
        <v>38</v>
      </c>
      <c r="B48" s="193" t="s">
        <v>430</v>
      </c>
      <c r="C48" s="202"/>
      <c r="D48" s="202"/>
      <c r="E48" s="203"/>
      <c r="F48" s="203"/>
      <c r="G48" s="204"/>
      <c r="H48" s="204"/>
      <c r="I48" s="59"/>
      <c r="J48" s="62"/>
    </row>
    <row r="49" spans="1:10" s="61" customFormat="1" ht="18.75">
      <c r="A49" s="209" t="s">
        <v>39</v>
      </c>
      <c r="B49" s="193" t="s">
        <v>197</v>
      </c>
      <c r="C49" s="202">
        <f>C50+C57</f>
        <v>2200</v>
      </c>
      <c r="D49" s="202">
        <f>D50+D57</f>
        <v>1200</v>
      </c>
      <c r="E49" s="203">
        <f>E50+E57+E54+E55+E56</f>
        <v>4322.3563199999999</v>
      </c>
      <c r="F49" s="203">
        <f>F50+F57+F54+F55+F56</f>
        <v>1089.0713270000001</v>
      </c>
      <c r="G49" s="204">
        <f>E49/C49</f>
        <v>1.964707418181818</v>
      </c>
      <c r="H49" s="204">
        <f>F49/D49</f>
        <v>0.9075594391666667</v>
      </c>
      <c r="I49" s="59" t="e">
        <f>#REF!-#REF!</f>
        <v>#REF!</v>
      </c>
      <c r="J49" s="60" t="e">
        <f>#REF!-#REF!</f>
        <v>#REF!</v>
      </c>
    </row>
    <row r="50" spans="1:10" s="30" customFormat="1" ht="18.75">
      <c r="A50" s="194" t="s">
        <v>12</v>
      </c>
      <c r="B50" s="195" t="s">
        <v>198</v>
      </c>
      <c r="C50" s="206">
        <f>SUM(C52:C53)</f>
        <v>1380</v>
      </c>
      <c r="D50" s="206">
        <f>SUM(D52:D53)</f>
        <v>400</v>
      </c>
      <c r="E50" s="207">
        <v>2108.0823919999998</v>
      </c>
      <c r="F50" s="207">
        <v>160.46699899999999</v>
      </c>
      <c r="G50" s="208">
        <f>E50/C50</f>
        <v>1.5275959362318838</v>
      </c>
      <c r="H50" s="208">
        <f>F50/D50</f>
        <v>0.40116749749999997</v>
      </c>
      <c r="I50" s="48"/>
      <c r="J50" s="49"/>
    </row>
    <row r="51" spans="1:10" s="31" customFormat="1" ht="18.75">
      <c r="A51" s="210"/>
      <c r="B51" s="195" t="s">
        <v>199</v>
      </c>
      <c r="C51" s="212"/>
      <c r="D51" s="212"/>
      <c r="E51" s="213"/>
      <c r="F51" s="213"/>
      <c r="G51" s="214"/>
      <c r="H51" s="214"/>
      <c r="I51" s="46"/>
      <c r="J51" s="47"/>
    </row>
    <row r="52" spans="1:10" s="31" customFormat="1" ht="18.75">
      <c r="A52" s="210"/>
      <c r="B52" s="218" t="s">
        <v>200</v>
      </c>
      <c r="C52" s="212">
        <v>700</v>
      </c>
      <c r="D52" s="212"/>
      <c r="E52" s="213">
        <v>1532.45</v>
      </c>
      <c r="F52" s="213"/>
      <c r="G52" s="214">
        <f>E52/C52</f>
        <v>2.1892142857142858</v>
      </c>
      <c r="H52" s="214"/>
      <c r="I52" s="46"/>
      <c r="J52" s="47"/>
    </row>
    <row r="53" spans="1:10" s="31" customFormat="1" ht="18.75">
      <c r="A53" s="210"/>
      <c r="B53" s="218" t="s">
        <v>201</v>
      </c>
      <c r="C53" s="212">
        <v>680</v>
      </c>
      <c r="D53" s="212">
        <v>400</v>
      </c>
      <c r="E53" s="213">
        <v>217.63539299999999</v>
      </c>
      <c r="F53" s="213"/>
      <c r="G53" s="214">
        <f>E53/C53</f>
        <v>0.32005204852941177</v>
      </c>
      <c r="H53" s="214"/>
      <c r="I53" s="46"/>
      <c r="J53" s="47"/>
    </row>
    <row r="54" spans="1:10" s="30" customFormat="1" ht="18.75">
      <c r="A54" s="194" t="s">
        <v>12</v>
      </c>
      <c r="B54" s="216" t="s">
        <v>202</v>
      </c>
      <c r="C54" s="206"/>
      <c r="D54" s="206"/>
      <c r="E54" s="207">
        <v>13.45</v>
      </c>
      <c r="F54" s="207"/>
      <c r="G54" s="208"/>
      <c r="H54" s="208"/>
      <c r="I54" s="48"/>
      <c r="J54" s="49"/>
    </row>
    <row r="55" spans="1:10" s="30" customFormat="1" ht="18.75">
      <c r="A55" s="194" t="s">
        <v>12</v>
      </c>
      <c r="B55" s="216" t="s">
        <v>203</v>
      </c>
      <c r="C55" s="206"/>
      <c r="D55" s="206"/>
      <c r="E55" s="207">
        <v>867.79920600000003</v>
      </c>
      <c r="F55" s="207">
        <v>856.48220600000002</v>
      </c>
      <c r="G55" s="208"/>
      <c r="H55" s="208"/>
      <c r="I55" s="48"/>
      <c r="J55" s="49"/>
    </row>
    <row r="56" spans="1:10" s="30" customFormat="1" ht="18.75">
      <c r="A56" s="194" t="s">
        <v>12</v>
      </c>
      <c r="B56" s="216" t="s">
        <v>204</v>
      </c>
      <c r="C56" s="206"/>
      <c r="D56" s="206"/>
      <c r="E56" s="207"/>
      <c r="F56" s="207"/>
      <c r="G56" s="208"/>
      <c r="H56" s="208"/>
      <c r="I56" s="48"/>
      <c r="J56" s="49"/>
    </row>
    <row r="57" spans="1:10" s="30" customFormat="1" ht="18.75">
      <c r="A57" s="194" t="s">
        <v>12</v>
      </c>
      <c r="B57" s="195" t="s">
        <v>205</v>
      </c>
      <c r="C57" s="206">
        <v>820</v>
      </c>
      <c r="D57" s="206">
        <v>800</v>
      </c>
      <c r="E57" s="207">
        <v>1333.0247220000001</v>
      </c>
      <c r="F57" s="207">
        <v>72.122122000000005</v>
      </c>
      <c r="G57" s="208">
        <f>E57/C57</f>
        <v>1.625639904878049</v>
      </c>
      <c r="H57" s="208">
        <f>F57/D57</f>
        <v>9.01526525E-2</v>
      </c>
      <c r="I57" s="48"/>
      <c r="J57" s="49"/>
    </row>
    <row r="58" spans="1:10" s="30" customFormat="1" ht="18.75">
      <c r="A58" s="134" t="s">
        <v>16</v>
      </c>
      <c r="B58" s="193" t="s">
        <v>206</v>
      </c>
      <c r="C58" s="206"/>
      <c r="D58" s="206"/>
      <c r="E58" s="207"/>
      <c r="F58" s="207"/>
      <c r="G58" s="208"/>
      <c r="H58" s="208"/>
      <c r="I58" s="48" t="e">
        <f>#REF!-#REF!</f>
        <v>#REF!</v>
      </c>
      <c r="J58" s="49" t="e">
        <f>#REF!-#REF!</f>
        <v>#REF!</v>
      </c>
    </row>
    <row r="59" spans="1:10" s="30" customFormat="1" ht="18.75">
      <c r="A59" s="134" t="s">
        <v>50</v>
      </c>
      <c r="B59" s="193" t="s">
        <v>207</v>
      </c>
      <c r="C59" s="206"/>
      <c r="D59" s="206"/>
      <c r="E59" s="207"/>
      <c r="F59" s="207"/>
      <c r="G59" s="208"/>
      <c r="H59" s="208"/>
      <c r="I59" s="48" t="e">
        <f>#REF!-#REF!</f>
        <v>#REF!</v>
      </c>
      <c r="J59" s="49" t="e">
        <f>#REF!-#REF!</f>
        <v>#REF!</v>
      </c>
    </row>
    <row r="60" spans="1:10" s="30" customFormat="1" ht="18.75">
      <c r="A60" s="198">
        <v>1</v>
      </c>
      <c r="B60" s="195" t="s">
        <v>208</v>
      </c>
      <c r="C60" s="206"/>
      <c r="D60" s="206"/>
      <c r="E60" s="207"/>
      <c r="F60" s="207"/>
      <c r="G60" s="208"/>
      <c r="H60" s="208"/>
      <c r="I60" s="48"/>
      <c r="J60" s="49"/>
    </row>
    <row r="61" spans="1:10" s="30" customFormat="1" ht="18.75">
      <c r="A61" s="198">
        <f>A60+1</f>
        <v>2</v>
      </c>
      <c r="B61" s="195" t="s">
        <v>209</v>
      </c>
      <c r="C61" s="206"/>
      <c r="D61" s="206"/>
      <c r="E61" s="207"/>
      <c r="F61" s="207"/>
      <c r="G61" s="208"/>
      <c r="H61" s="208"/>
      <c r="I61" s="48"/>
      <c r="J61" s="49"/>
    </row>
    <row r="62" spans="1:10" s="30" customFormat="1" ht="18.75">
      <c r="A62" s="198">
        <f>A61+1</f>
        <v>3</v>
      </c>
      <c r="B62" s="195" t="s">
        <v>210</v>
      </c>
      <c r="C62" s="206"/>
      <c r="D62" s="206"/>
      <c r="E62" s="207"/>
      <c r="F62" s="207"/>
      <c r="G62" s="208"/>
      <c r="H62" s="208"/>
      <c r="I62" s="48"/>
      <c r="J62" s="49"/>
    </row>
    <row r="63" spans="1:10" s="30" customFormat="1" ht="18.75">
      <c r="A63" s="198">
        <f>A62+1</f>
        <v>4</v>
      </c>
      <c r="B63" s="195" t="s">
        <v>211</v>
      </c>
      <c r="C63" s="206"/>
      <c r="D63" s="206"/>
      <c r="E63" s="207"/>
      <c r="F63" s="207"/>
      <c r="G63" s="208"/>
      <c r="H63" s="208"/>
      <c r="I63" s="48"/>
      <c r="J63" s="49"/>
    </row>
    <row r="64" spans="1:10" s="30" customFormat="1" ht="18.75">
      <c r="A64" s="198">
        <f>A63+1</f>
        <v>5</v>
      </c>
      <c r="B64" s="195" t="s">
        <v>212</v>
      </c>
      <c r="C64" s="206"/>
      <c r="D64" s="206"/>
      <c r="E64" s="207"/>
      <c r="F64" s="207"/>
      <c r="G64" s="208"/>
      <c r="H64" s="208"/>
      <c r="I64" s="48"/>
      <c r="J64" s="49"/>
    </row>
    <row r="65" spans="1:10" s="30" customFormat="1" ht="18.75">
      <c r="A65" s="198">
        <f>A64+1</f>
        <v>6</v>
      </c>
      <c r="B65" s="195" t="s">
        <v>213</v>
      </c>
      <c r="C65" s="206"/>
      <c r="D65" s="206"/>
      <c r="E65" s="207"/>
      <c r="F65" s="207"/>
      <c r="G65" s="208"/>
      <c r="H65" s="208"/>
      <c r="I65" s="48"/>
      <c r="J65" s="49"/>
    </row>
    <row r="66" spans="1:10" s="30" customFormat="1" ht="18.75">
      <c r="A66" s="134" t="s">
        <v>51</v>
      </c>
      <c r="B66" s="193" t="s">
        <v>172</v>
      </c>
      <c r="C66" s="206"/>
      <c r="D66" s="206"/>
      <c r="E66" s="207"/>
      <c r="F66" s="207"/>
      <c r="G66" s="208"/>
      <c r="H66" s="208"/>
      <c r="I66" s="48" t="e">
        <f>#REF!-#REF!</f>
        <v>#REF!</v>
      </c>
      <c r="J66" s="49" t="e">
        <f>#REF!-#REF!</f>
        <v>#REF!</v>
      </c>
    </row>
    <row r="67" spans="1:10" s="30" customFormat="1" ht="18.75">
      <c r="A67" s="221" t="s">
        <v>23</v>
      </c>
      <c r="B67" s="222" t="s">
        <v>214</v>
      </c>
      <c r="C67" s="206"/>
      <c r="D67" s="206"/>
      <c r="E67" s="207"/>
      <c r="F67" s="207"/>
      <c r="G67" s="208"/>
      <c r="H67" s="208"/>
      <c r="I67" s="74"/>
      <c r="J67" s="75"/>
    </row>
    <row r="68" spans="1:10" s="30" customFormat="1" ht="18.75">
      <c r="A68" s="221" t="s">
        <v>41</v>
      </c>
      <c r="B68" s="222" t="s">
        <v>215</v>
      </c>
      <c r="C68" s="206"/>
      <c r="D68" s="206"/>
      <c r="E68" s="203">
        <v>3011.061361</v>
      </c>
      <c r="F68" s="203">
        <v>3011.061361</v>
      </c>
      <c r="G68" s="208"/>
      <c r="H68" s="208"/>
      <c r="I68" s="74"/>
      <c r="J68" s="75"/>
    </row>
    <row r="69" spans="1:10" s="30" customFormat="1" ht="37.5">
      <c r="A69" s="221" t="s">
        <v>158</v>
      </c>
      <c r="B69" s="222" t="s">
        <v>216</v>
      </c>
      <c r="C69" s="206"/>
      <c r="D69" s="206"/>
      <c r="E69" s="203">
        <v>134436.32114399999</v>
      </c>
      <c r="F69" s="203">
        <v>134436.32114399999</v>
      </c>
      <c r="G69" s="208"/>
      <c r="H69" s="208"/>
      <c r="I69" s="74"/>
      <c r="J69" s="75"/>
    </row>
    <row r="70" spans="1:10" s="80" customFormat="1" ht="21" customHeight="1">
      <c r="A70" s="76" t="s">
        <v>402</v>
      </c>
      <c r="B70" s="77"/>
      <c r="C70" s="78"/>
      <c r="D70" s="78"/>
      <c r="E70" s="78"/>
      <c r="F70" s="78"/>
      <c r="G70" s="79"/>
      <c r="H70" s="79"/>
    </row>
    <row r="71" spans="1:10" ht="25.5" customHeight="1">
      <c r="A71" s="159" t="s">
        <v>217</v>
      </c>
      <c r="B71" s="159"/>
      <c r="C71" s="159"/>
      <c r="D71" s="159"/>
      <c r="E71" s="159"/>
      <c r="F71" s="159"/>
      <c r="G71" s="159"/>
      <c r="H71" s="159"/>
      <c r="I71" s="159"/>
      <c r="J71" s="159"/>
    </row>
    <row r="72" spans="1:10" ht="19.5" customHeight="1">
      <c r="A72" s="7"/>
      <c r="B72" s="50" t="s">
        <v>218</v>
      </c>
      <c r="C72" s="7"/>
      <c r="D72" s="7"/>
      <c r="E72" s="7"/>
      <c r="F72" s="7"/>
      <c r="G72" s="7"/>
      <c r="H72" s="7"/>
      <c r="I72" s="7"/>
      <c r="J72" s="7"/>
    </row>
    <row r="73" spans="1:10" ht="18.75">
      <c r="A73" s="7"/>
      <c r="B73" s="50" t="s">
        <v>219</v>
      </c>
      <c r="C73" s="7"/>
      <c r="D73" s="7"/>
      <c r="E73" s="7"/>
      <c r="F73" s="7"/>
      <c r="G73" s="7"/>
      <c r="H73" s="7"/>
      <c r="I73" s="7"/>
      <c r="J73" s="7"/>
    </row>
    <row r="74" spans="1:10" ht="18.75">
      <c r="A74" s="7"/>
      <c r="B74" s="50" t="s">
        <v>220</v>
      </c>
      <c r="C74" s="7"/>
      <c r="D74" s="7"/>
      <c r="E74" s="7"/>
      <c r="F74" s="7"/>
      <c r="G74" s="7"/>
      <c r="H74" s="7"/>
      <c r="I74" s="7"/>
      <c r="J74" s="7"/>
    </row>
    <row r="75" spans="1:10" ht="18.75">
      <c r="A75" s="7"/>
      <c r="B75" s="51" t="s">
        <v>221</v>
      </c>
      <c r="C75" s="7"/>
      <c r="D75" s="7"/>
      <c r="E75" s="7"/>
      <c r="F75" s="7"/>
      <c r="G75" s="7"/>
      <c r="H75" s="7"/>
      <c r="I75" s="7"/>
      <c r="J75" s="7"/>
    </row>
    <row r="76" spans="1:10" ht="18.75">
      <c r="A76" s="7"/>
      <c r="B76" s="23" t="s">
        <v>222</v>
      </c>
      <c r="C76" s="7"/>
      <c r="D76" s="7"/>
      <c r="E76" s="7"/>
      <c r="F76" s="7"/>
      <c r="G76" s="7"/>
      <c r="H76" s="7"/>
      <c r="I76" s="7"/>
      <c r="J76" s="7"/>
    </row>
    <row r="77" spans="1:10" ht="18.75">
      <c r="A77" s="7"/>
      <c r="B77" s="51" t="s">
        <v>223</v>
      </c>
      <c r="C77" s="7"/>
      <c r="D77" s="7"/>
      <c r="E77" s="7"/>
      <c r="F77" s="7"/>
      <c r="G77" s="7"/>
      <c r="H77" s="7"/>
      <c r="I77" s="7"/>
      <c r="J77" s="7"/>
    </row>
    <row r="78" spans="1:10" ht="18.75">
      <c r="A78" s="7"/>
      <c r="B78" s="23" t="s">
        <v>224</v>
      </c>
      <c r="C78" s="7"/>
      <c r="D78" s="7"/>
      <c r="E78" s="7"/>
      <c r="F78" s="7"/>
      <c r="G78" s="7"/>
      <c r="H78" s="7"/>
      <c r="I78" s="7"/>
      <c r="J78" s="7"/>
    </row>
    <row r="79" spans="1:10" ht="18.75">
      <c r="A79" s="22"/>
      <c r="B79" s="50" t="s">
        <v>225</v>
      </c>
      <c r="C79" s="7"/>
      <c r="D79" s="7"/>
      <c r="E79" s="7"/>
      <c r="F79" s="7"/>
      <c r="G79" s="7"/>
      <c r="H79" s="7"/>
      <c r="I79" s="7"/>
      <c r="J79" s="7"/>
    </row>
    <row r="80" spans="1:10" ht="18.75">
      <c r="A80" s="30"/>
      <c r="B80" s="50" t="s">
        <v>226</v>
      </c>
      <c r="C80" s="7"/>
      <c r="D80" s="7"/>
      <c r="E80" s="7"/>
      <c r="F80" s="7"/>
      <c r="G80" s="7"/>
      <c r="H80" s="7"/>
      <c r="I80" s="7"/>
      <c r="J80" s="7"/>
    </row>
    <row r="81" spans="1:10" ht="18.75">
      <c r="A81" s="30"/>
      <c r="B81" s="50" t="s">
        <v>227</v>
      </c>
      <c r="C81" s="7"/>
      <c r="D81" s="7"/>
      <c r="E81" s="7"/>
      <c r="F81" s="7"/>
      <c r="G81" s="7"/>
      <c r="H81" s="7"/>
      <c r="I81" s="7"/>
      <c r="J81" s="7"/>
    </row>
    <row r="82" spans="1:10" ht="18.75">
      <c r="A82" s="30"/>
      <c r="B82" s="30"/>
      <c r="C82" s="30"/>
      <c r="D82" s="30"/>
      <c r="E82" s="30"/>
      <c r="F82" s="30"/>
      <c r="G82" s="30"/>
      <c r="H82" s="30"/>
    </row>
    <row r="83" spans="1:10" ht="18.75">
      <c r="A83" s="30"/>
      <c r="B83" s="30"/>
      <c r="C83" s="30"/>
      <c r="D83" s="30"/>
      <c r="E83" s="30"/>
      <c r="F83" s="30"/>
      <c r="G83" s="30"/>
      <c r="H83" s="30"/>
    </row>
    <row r="84" spans="1:10" ht="22.5" customHeight="1">
      <c r="A84" s="30"/>
      <c r="B84" s="30"/>
      <c r="C84" s="30"/>
      <c r="D84" s="30"/>
      <c r="E84" s="30"/>
      <c r="F84" s="30"/>
      <c r="G84" s="30"/>
      <c r="H84" s="30"/>
    </row>
    <row r="85" spans="1:10" ht="18.75">
      <c r="A85" s="30"/>
      <c r="B85" s="30"/>
      <c r="C85" s="30"/>
      <c r="D85" s="30"/>
      <c r="E85" s="30"/>
      <c r="F85" s="30"/>
      <c r="G85" s="30"/>
      <c r="H85" s="30"/>
    </row>
    <row r="86" spans="1:10" ht="18.75">
      <c r="A86" s="30"/>
      <c r="B86" s="30"/>
      <c r="C86" s="30"/>
      <c r="D86" s="30"/>
      <c r="E86" s="30"/>
      <c r="F86" s="30"/>
      <c r="G86" s="30"/>
      <c r="H86" s="30"/>
    </row>
    <row r="87" spans="1:10" ht="18.75">
      <c r="A87" s="30"/>
      <c r="B87" s="30"/>
      <c r="C87" s="30"/>
      <c r="D87" s="30"/>
      <c r="E87" s="30"/>
      <c r="F87" s="30"/>
      <c r="G87" s="30"/>
      <c r="H87" s="30"/>
    </row>
    <row r="88" spans="1:10" ht="18.75">
      <c r="A88" s="30"/>
      <c r="B88" s="30"/>
      <c r="C88" s="30"/>
      <c r="D88" s="30"/>
      <c r="E88" s="30"/>
      <c r="F88" s="30"/>
      <c r="G88" s="30"/>
      <c r="H88" s="30"/>
    </row>
  </sheetData>
  <mergeCells count="9">
    <mergeCell ref="A71:J71"/>
    <mergeCell ref="A2:H2"/>
    <mergeCell ref="A3:H3"/>
    <mergeCell ref="A6:A7"/>
    <mergeCell ref="B6:B7"/>
    <mergeCell ref="C6:D6"/>
    <mergeCell ref="E6:F6"/>
    <mergeCell ref="G6:H6"/>
    <mergeCell ref="G4:H5"/>
  </mergeCells>
  <phoneticPr fontId="23" type="noConversion"/>
  <pageMargins left="0.59" right="0.32" top="0.56999999999999995" bottom="0.48" header="0.2" footer="0.2"/>
  <pageSetup paperSize="9" scale="57" fitToHeight="0" orientation="portrait" r:id="rId1"/>
  <headerFooter alignWithMargins="0">
    <oddFooter xml:space="preserve">&amp;C&amp;"Arial,Regular"&amp;12&amp;P/&amp;N&amp;".VnTime,  Italic"&amp;8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1"/>
  <sheetViews>
    <sheetView showGridLines="0" showZeros="0" workbookViewId="0">
      <selection activeCell="A4" sqref="A4:E4"/>
    </sheetView>
  </sheetViews>
  <sheetFormatPr defaultRowHeight="16.5"/>
  <cols>
    <col min="1" max="1" width="7" style="117" customWidth="1"/>
    <col min="2" max="2" width="51.7109375" style="117" customWidth="1"/>
    <col min="3" max="3" width="20" style="117" customWidth="1"/>
    <col min="4" max="4" width="19.7109375" style="117" customWidth="1"/>
    <col min="5" max="5" width="13.5703125" style="117" customWidth="1"/>
    <col min="6" max="6" width="21.42578125" style="117" customWidth="1"/>
    <col min="7" max="16384" width="9.140625" style="117"/>
  </cols>
  <sheetData>
    <row r="1" spans="1:6" ht="16.5" customHeight="1">
      <c r="A1" s="115" t="s">
        <v>375</v>
      </c>
      <c r="B1" s="116"/>
      <c r="C1" s="116"/>
      <c r="E1" s="118"/>
    </row>
    <row r="2" spans="1:6">
      <c r="A2" s="119" t="s">
        <v>0</v>
      </c>
    </row>
    <row r="3" spans="1:6" s="120" customFormat="1" ht="19.5">
      <c r="A3" s="237" t="s">
        <v>523</v>
      </c>
      <c r="B3" s="237"/>
      <c r="C3" s="237"/>
      <c r="D3" s="237"/>
      <c r="E3" s="237"/>
    </row>
    <row r="4" spans="1:6" s="120" customFormat="1" ht="19.5">
      <c r="A4" s="167" t="str">
        <f>'48'!A4:F4</f>
        <v>(Kèm theo Nghị quyết số:         /NQ-HĐND ngày       /       /2024 của HĐND huyện Đăk Glei)</v>
      </c>
      <c r="B4" s="167"/>
      <c r="C4" s="167"/>
      <c r="D4" s="167"/>
      <c r="E4" s="167"/>
    </row>
    <row r="5" spans="1:6">
      <c r="A5" s="168" t="s">
        <v>429</v>
      </c>
      <c r="B5" s="168"/>
      <c r="C5" s="168"/>
      <c r="D5" s="168"/>
      <c r="E5" s="168"/>
    </row>
    <row r="6" spans="1:6" ht="6.75" customHeight="1">
      <c r="A6" s="119" t="s">
        <v>0</v>
      </c>
    </row>
    <row r="7" spans="1:6" ht="33.75" customHeight="1">
      <c r="A7" s="121" t="s">
        <v>1</v>
      </c>
      <c r="B7" s="121" t="s">
        <v>2</v>
      </c>
      <c r="C7" s="121" t="s">
        <v>507</v>
      </c>
      <c r="D7" s="121" t="s">
        <v>508</v>
      </c>
      <c r="E7" s="121" t="s">
        <v>5</v>
      </c>
    </row>
    <row r="8" spans="1:6">
      <c r="A8" s="121" t="s">
        <v>6</v>
      </c>
      <c r="B8" s="121" t="s">
        <v>23</v>
      </c>
      <c r="C8" s="121">
        <v>1</v>
      </c>
      <c r="D8" s="121">
        <v>2</v>
      </c>
      <c r="E8" s="121" t="s">
        <v>382</v>
      </c>
    </row>
    <row r="9" spans="1:6" s="122" customFormat="1" ht="27" customHeight="1">
      <c r="A9" s="121"/>
      <c r="B9" s="121" t="s">
        <v>44</v>
      </c>
      <c r="C9" s="223">
        <f>C10+C27+C36</f>
        <v>545367</v>
      </c>
      <c r="D9" s="223">
        <f>D10+D27+D35+D36</f>
        <v>693388.06235899997</v>
      </c>
      <c r="E9" s="224">
        <f>D9/C9</f>
        <v>1.2714155098474971</v>
      </c>
      <c r="F9" s="126"/>
    </row>
    <row r="10" spans="1:6" s="122" customFormat="1" ht="21.95" customHeight="1">
      <c r="A10" s="121" t="s">
        <v>6</v>
      </c>
      <c r="B10" s="225" t="s">
        <v>7</v>
      </c>
      <c r="C10" s="223">
        <f>C11+C21+C25+C26</f>
        <v>416401</v>
      </c>
      <c r="D10" s="223">
        <f>D11+D21+D25+D26</f>
        <v>409105.11782799987</v>
      </c>
      <c r="E10" s="224">
        <f t="shared" ref="E10:E27" si="0">D10/C10</f>
        <v>0.98247871121346941</v>
      </c>
      <c r="F10" s="124"/>
    </row>
    <row r="11" spans="1:6" s="122" customFormat="1" ht="21.95" customHeight="1">
      <c r="A11" s="121" t="s">
        <v>8</v>
      </c>
      <c r="B11" s="225" t="s">
        <v>9</v>
      </c>
      <c r="C11" s="223">
        <f>C12+C19+C20</f>
        <v>15950</v>
      </c>
      <c r="D11" s="223">
        <f>D12</f>
        <v>15962.300921</v>
      </c>
      <c r="E11" s="224">
        <f t="shared" si="0"/>
        <v>1.0007712176175549</v>
      </c>
      <c r="F11" s="126"/>
    </row>
    <row r="12" spans="1:6" ht="21.95" customHeight="1">
      <c r="A12" s="226" t="s">
        <v>10</v>
      </c>
      <c r="B12" s="227" t="s">
        <v>11</v>
      </c>
      <c r="C12" s="228">
        <f>'53'!C14</f>
        <v>15248</v>
      </c>
      <c r="D12" s="228">
        <f>'53'!F14</f>
        <v>15962.300921</v>
      </c>
      <c r="E12" s="229">
        <f t="shared" si="0"/>
        <v>1.0468455483342078</v>
      </c>
    </row>
    <row r="13" spans="1:6" s="123" customFormat="1" ht="21.95" customHeight="1">
      <c r="A13" s="230"/>
      <c r="B13" s="231" t="s">
        <v>409</v>
      </c>
      <c r="C13" s="232"/>
      <c r="D13" s="232"/>
      <c r="E13" s="233"/>
    </row>
    <row r="14" spans="1:6" ht="21.95" customHeight="1">
      <c r="A14" s="226" t="s">
        <v>12</v>
      </c>
      <c r="B14" s="227" t="s">
        <v>13</v>
      </c>
      <c r="C14" s="228">
        <f>'53'!C16</f>
        <v>9833</v>
      </c>
      <c r="D14" s="228">
        <f>'53'!F16</f>
        <v>6407.6790000000001</v>
      </c>
      <c r="E14" s="229">
        <f t="shared" si="0"/>
        <v>0.65165046272755012</v>
      </c>
    </row>
    <row r="15" spans="1:6" ht="21.95" customHeight="1">
      <c r="A15" s="226" t="s">
        <v>12</v>
      </c>
      <c r="B15" s="227" t="s">
        <v>14</v>
      </c>
      <c r="C15" s="228"/>
      <c r="D15" s="228"/>
      <c r="E15" s="229"/>
    </row>
    <row r="16" spans="1:6" s="123" customFormat="1" ht="21.95" customHeight="1">
      <c r="A16" s="230"/>
      <c r="B16" s="231" t="s">
        <v>408</v>
      </c>
      <c r="C16" s="232"/>
      <c r="D16" s="232"/>
      <c r="E16" s="233"/>
    </row>
    <row r="17" spans="1:5" ht="21.95" customHeight="1">
      <c r="A17" s="234" t="s">
        <v>12</v>
      </c>
      <c r="B17" s="227" t="s">
        <v>250</v>
      </c>
      <c r="C17" s="228">
        <f>'53'!C19</f>
        <v>7218</v>
      </c>
      <c r="D17" s="228">
        <f>'53'!F19</f>
        <v>3284.3820409999998</v>
      </c>
      <c r="E17" s="229">
        <f t="shared" si="0"/>
        <v>0.45502660584649485</v>
      </c>
    </row>
    <row r="18" spans="1:5" ht="21.95" customHeight="1">
      <c r="A18" s="226" t="s">
        <v>12</v>
      </c>
      <c r="B18" s="227" t="s">
        <v>15</v>
      </c>
      <c r="C18" s="228"/>
      <c r="D18" s="228"/>
      <c r="E18" s="229"/>
    </row>
    <row r="19" spans="1:5" ht="66">
      <c r="A19" s="234" t="s">
        <v>18</v>
      </c>
      <c r="B19" s="235" t="s">
        <v>420</v>
      </c>
      <c r="C19" s="228"/>
      <c r="D19" s="228"/>
      <c r="E19" s="229"/>
    </row>
    <row r="20" spans="1:5" ht="21.95" customHeight="1">
      <c r="A20" s="234" t="s">
        <v>27</v>
      </c>
      <c r="B20" s="236" t="s">
        <v>49</v>
      </c>
      <c r="C20" s="228">
        <f>'53'!C21</f>
        <v>702</v>
      </c>
      <c r="D20" s="228"/>
      <c r="E20" s="229"/>
    </row>
    <row r="21" spans="1:5" s="122" customFormat="1" ht="21.95" customHeight="1">
      <c r="A21" s="121" t="s">
        <v>16</v>
      </c>
      <c r="B21" s="225" t="s">
        <v>17</v>
      </c>
      <c r="C21" s="223">
        <f>'53'!C22</f>
        <v>392049</v>
      </c>
      <c r="D21" s="223">
        <f>'53'!F22</f>
        <v>393142.81690699985</v>
      </c>
      <c r="E21" s="224">
        <f t="shared" si="0"/>
        <v>1.0027900005024879</v>
      </c>
    </row>
    <row r="22" spans="1:5" s="123" customFormat="1" ht="21.95" customHeight="1">
      <c r="A22" s="230"/>
      <c r="B22" s="231" t="s">
        <v>199</v>
      </c>
      <c r="C22" s="232"/>
      <c r="D22" s="232"/>
      <c r="E22" s="233"/>
    </row>
    <row r="23" spans="1:5" ht="21.95" customHeight="1">
      <c r="A23" s="226" t="s">
        <v>10</v>
      </c>
      <c r="B23" s="227" t="s">
        <v>13</v>
      </c>
      <c r="C23" s="228">
        <f>'53'!C24</f>
        <v>228075</v>
      </c>
      <c r="D23" s="228">
        <f>'53'!F24</f>
        <v>229038.221433</v>
      </c>
      <c r="E23" s="229">
        <f t="shared" si="0"/>
        <v>1.0042232661756001</v>
      </c>
    </row>
    <row r="24" spans="1:5" ht="21.95" customHeight="1">
      <c r="A24" s="226" t="s">
        <v>18</v>
      </c>
      <c r="B24" s="227" t="s">
        <v>14</v>
      </c>
      <c r="C24" s="228">
        <f>'53'!C25</f>
        <v>200</v>
      </c>
      <c r="D24" s="228">
        <f>'53'!F25</f>
        <v>197.16249999999999</v>
      </c>
      <c r="E24" s="229">
        <f t="shared" si="0"/>
        <v>0.98581249999999998</v>
      </c>
    </row>
    <row r="25" spans="1:5" s="122" customFormat="1" ht="21.95" customHeight="1">
      <c r="A25" s="121" t="s">
        <v>50</v>
      </c>
      <c r="B25" s="225" t="s">
        <v>20</v>
      </c>
      <c r="C25" s="223">
        <f>'53'!C26</f>
        <v>8402</v>
      </c>
      <c r="D25" s="223">
        <v>0</v>
      </c>
      <c r="E25" s="229">
        <f t="shared" si="0"/>
        <v>0</v>
      </c>
    </row>
    <row r="26" spans="1:5" s="122" customFormat="1" ht="21.95" customHeight="1">
      <c r="A26" s="121" t="s">
        <v>51</v>
      </c>
      <c r="B26" s="225" t="s">
        <v>22</v>
      </c>
      <c r="C26" s="223"/>
      <c r="D26" s="223">
        <v>0</v>
      </c>
      <c r="E26" s="229"/>
    </row>
    <row r="27" spans="1:5" s="122" customFormat="1" ht="21.95" customHeight="1">
      <c r="A27" s="121" t="s">
        <v>23</v>
      </c>
      <c r="B27" s="225" t="s">
        <v>24</v>
      </c>
      <c r="C27" s="223">
        <f>C28+C32</f>
        <v>128966</v>
      </c>
      <c r="D27" s="223">
        <f>D28+D32</f>
        <v>143420.89371999999</v>
      </c>
      <c r="E27" s="224">
        <f t="shared" si="0"/>
        <v>1.1120829809407129</v>
      </c>
    </row>
    <row r="28" spans="1:5" s="122" customFormat="1" ht="21.95" customHeight="1">
      <c r="A28" s="121" t="s">
        <v>8</v>
      </c>
      <c r="B28" s="225" t="s">
        <v>25</v>
      </c>
      <c r="C28" s="223">
        <f>SUM(C29:C31)</f>
        <v>116511</v>
      </c>
      <c r="D28" s="223">
        <f>D29+D30+D31</f>
        <v>121346.62082699999</v>
      </c>
      <c r="E28" s="224"/>
    </row>
    <row r="29" spans="1:5" ht="21.95" customHeight="1">
      <c r="A29" s="226">
        <v>1</v>
      </c>
      <c r="B29" s="227" t="s">
        <v>244</v>
      </c>
      <c r="C29" s="228">
        <f>'53'!C30</f>
        <v>12112</v>
      </c>
      <c r="D29" s="228">
        <f>'53'!F30</f>
        <v>5131.2860900000005</v>
      </c>
      <c r="E29" s="229"/>
    </row>
    <row r="30" spans="1:5" ht="21.95" customHeight="1">
      <c r="A30" s="226">
        <v>2</v>
      </c>
      <c r="B30" s="227" t="s">
        <v>245</v>
      </c>
      <c r="C30" s="228">
        <f>'53'!C33</f>
        <v>7757</v>
      </c>
      <c r="D30" s="228">
        <f>'53'!F33</f>
        <v>14912.162471</v>
      </c>
      <c r="E30" s="229"/>
    </row>
    <row r="31" spans="1:5" ht="39.950000000000003" customHeight="1">
      <c r="A31" s="234" t="s">
        <v>27</v>
      </c>
      <c r="B31" s="227" t="s">
        <v>434</v>
      </c>
      <c r="C31" s="228">
        <f>'53'!C36</f>
        <v>96642</v>
      </c>
      <c r="D31" s="228">
        <f>'53'!F36</f>
        <v>101303.17226599999</v>
      </c>
      <c r="E31" s="229"/>
    </row>
    <row r="32" spans="1:5" s="122" customFormat="1" ht="21.95" customHeight="1">
      <c r="A32" s="121" t="s">
        <v>16</v>
      </c>
      <c r="B32" s="225" t="s">
        <v>26</v>
      </c>
      <c r="C32" s="223">
        <f>C33+C34</f>
        <v>12455</v>
      </c>
      <c r="D32" s="223">
        <f>D33+D34</f>
        <v>22074.272892999998</v>
      </c>
      <c r="E32" s="224">
        <f>D32/C32</f>
        <v>1.7723221913287834</v>
      </c>
    </row>
    <row r="33" spans="1:5" ht="21.95" customHeight="1">
      <c r="A33" s="234" t="s">
        <v>10</v>
      </c>
      <c r="B33" s="227" t="s">
        <v>411</v>
      </c>
      <c r="C33" s="228">
        <v>8000</v>
      </c>
      <c r="D33" s="228">
        <f>'53'!F40</f>
        <v>13584.096592999998</v>
      </c>
      <c r="E33" s="229">
        <f>D33/C33</f>
        <v>1.6980120741249998</v>
      </c>
    </row>
    <row r="34" spans="1:5" ht="21.95" customHeight="1">
      <c r="A34" s="234" t="s">
        <v>18</v>
      </c>
      <c r="B34" s="227" t="s">
        <v>413</v>
      </c>
      <c r="C34" s="228">
        <f>5048-593</f>
        <v>4455</v>
      </c>
      <c r="D34" s="228">
        <f>'53'!F46</f>
        <v>8490.1762999999992</v>
      </c>
      <c r="E34" s="229">
        <f t="shared" ref="E34" si="1">D34/C34</f>
        <v>1.9057634792368123</v>
      </c>
    </row>
    <row r="35" spans="1:5" s="122" customFormat="1" ht="21.95" customHeight="1">
      <c r="A35" s="121" t="s">
        <v>41</v>
      </c>
      <c r="B35" s="225" t="s">
        <v>42</v>
      </c>
      <c r="C35" s="223"/>
      <c r="D35" s="223">
        <f>'53'!F58</f>
        <v>110746.843757</v>
      </c>
      <c r="E35" s="224"/>
    </row>
    <row r="36" spans="1:5" s="122" customFormat="1" ht="21.95" customHeight="1">
      <c r="A36" s="121" t="s">
        <v>158</v>
      </c>
      <c r="B36" s="225" t="s">
        <v>246</v>
      </c>
      <c r="C36" s="223"/>
      <c r="D36" s="223">
        <f>'53'!G59</f>
        <v>30115.207053999999</v>
      </c>
      <c r="E36" s="224"/>
    </row>
    <row r="37" spans="1:5" ht="6" customHeight="1">
      <c r="A37" s="119" t="s">
        <v>0</v>
      </c>
    </row>
    <row r="38" spans="1:5" s="57" customFormat="1">
      <c r="A38" s="114" t="s">
        <v>433</v>
      </c>
    </row>
    <row r="39" spans="1:5" s="113" customFormat="1" ht="20.25" customHeight="1">
      <c r="A39" s="112" t="s">
        <v>547</v>
      </c>
    </row>
    <row r="40" spans="1:5" s="58" customFormat="1" ht="36" customHeight="1">
      <c r="A40" s="170" t="s">
        <v>432</v>
      </c>
      <c r="B40" s="170"/>
      <c r="C40" s="170"/>
      <c r="D40" s="170"/>
      <c r="E40" s="170"/>
    </row>
    <row r="41" spans="1:5">
      <c r="A41" s="169"/>
      <c r="B41" s="169"/>
      <c r="C41" s="169"/>
    </row>
  </sheetData>
  <mergeCells count="5">
    <mergeCell ref="A3:E3"/>
    <mergeCell ref="A4:E4"/>
    <mergeCell ref="A5:E5"/>
    <mergeCell ref="A41:C41"/>
    <mergeCell ref="A40:E40"/>
  </mergeCells>
  <phoneticPr fontId="29" type="noConversion"/>
  <pageMargins left="0.65" right="0.33" top="0.5" bottom="0.5" header="0.3" footer="0.3"/>
  <pageSetup paperSize="9" scale="80" orientation="portrait" verticalDpi="0" r:id="rId1"/>
  <headerFooter>
    <oddFooter>&amp;C&amp;12&amp;P/&amp;N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65"/>
  <sheetViews>
    <sheetView showGridLines="0" showZeros="0" zoomScaleNormal="100" workbookViewId="0">
      <selection activeCell="A7" sqref="A7:F48"/>
    </sheetView>
  </sheetViews>
  <sheetFormatPr defaultRowHeight="16.5"/>
  <cols>
    <col min="1" max="1" width="6.28515625" style="63" customWidth="1"/>
    <col min="2" max="2" width="36.140625" style="63" customWidth="1"/>
    <col min="3" max="3" width="18.7109375" style="63" customWidth="1"/>
    <col min="4" max="4" width="18.5703125" style="63" customWidth="1"/>
    <col min="5" max="5" width="17.7109375" style="63" customWidth="1"/>
    <col min="6" max="6" width="13.42578125" style="63" customWidth="1"/>
    <col min="7" max="7" width="20.85546875" style="83" customWidth="1"/>
    <col min="8" max="8" width="19.42578125" style="83" customWidth="1"/>
    <col min="9" max="9" width="20.85546875" style="84" customWidth="1"/>
    <col min="10" max="10" width="18" style="83" customWidth="1"/>
    <col min="11" max="11" width="19.140625" style="83" customWidth="1"/>
    <col min="12" max="12" width="19" style="85" customWidth="1"/>
    <col min="13" max="16384" width="9.140625" style="63"/>
  </cols>
  <sheetData>
    <row r="1" spans="1:12">
      <c r="A1" s="81" t="s">
        <v>241</v>
      </c>
      <c r="F1" s="82"/>
    </row>
    <row r="2" spans="1:12">
      <c r="A2" s="86" t="s">
        <v>0</v>
      </c>
    </row>
    <row r="3" spans="1:12" ht="18.75">
      <c r="A3" s="173" t="s">
        <v>546</v>
      </c>
      <c r="B3" s="173"/>
      <c r="C3" s="173"/>
      <c r="D3" s="173"/>
      <c r="E3" s="173"/>
      <c r="F3" s="173"/>
    </row>
    <row r="4" spans="1:12" ht="18.75">
      <c r="A4" s="174" t="str">
        <f>'51'!A4:E4</f>
        <v>(Kèm theo Nghị quyết số:         /NQ-HĐND ngày       /       /2024 của HĐND huyện Đăk Glei)</v>
      </c>
      <c r="B4" s="174"/>
      <c r="C4" s="174"/>
      <c r="D4" s="174"/>
      <c r="E4" s="174"/>
      <c r="F4" s="174"/>
    </row>
    <row r="5" spans="1:12">
      <c r="A5" s="86" t="s">
        <v>0</v>
      </c>
    </row>
    <row r="6" spans="1:12">
      <c r="A6" s="87" t="s">
        <v>0</v>
      </c>
      <c r="F6" s="88" t="s">
        <v>429</v>
      </c>
    </row>
    <row r="7" spans="1:12" ht="20.25" customHeight="1">
      <c r="A7" s="175" t="s">
        <v>134</v>
      </c>
      <c r="B7" s="175" t="s">
        <v>43</v>
      </c>
      <c r="C7" s="175" t="s">
        <v>445</v>
      </c>
      <c r="D7" s="175" t="s">
        <v>446</v>
      </c>
      <c r="E7" s="175" t="s">
        <v>248</v>
      </c>
      <c r="F7" s="175"/>
    </row>
    <row r="8" spans="1:12" ht="36" customHeight="1">
      <c r="A8" s="175"/>
      <c r="B8" s="175"/>
      <c r="C8" s="175"/>
      <c r="D8" s="175"/>
      <c r="E8" s="89" t="s">
        <v>136</v>
      </c>
      <c r="F8" s="89" t="s">
        <v>247</v>
      </c>
    </row>
    <row r="9" spans="1:12">
      <c r="A9" s="89" t="s">
        <v>6</v>
      </c>
      <c r="B9" s="89" t="s">
        <v>23</v>
      </c>
      <c r="C9" s="89">
        <v>1</v>
      </c>
      <c r="D9" s="89">
        <v>2</v>
      </c>
      <c r="E9" s="89" t="s">
        <v>138</v>
      </c>
      <c r="F9" s="89" t="s">
        <v>139</v>
      </c>
    </row>
    <row r="10" spans="1:12" ht="24.75" customHeight="1">
      <c r="A10" s="238"/>
      <c r="B10" s="89" t="s">
        <v>44</v>
      </c>
      <c r="C10" s="239">
        <f>C11+C12+C47+C48</f>
        <v>543713</v>
      </c>
      <c r="D10" s="239">
        <f>D11+D12+D47+D48</f>
        <v>672673.43302899983</v>
      </c>
      <c r="E10" s="239">
        <f>E11+E12+E47+E48</f>
        <v>132755.73302899997</v>
      </c>
      <c r="F10" s="240">
        <f>D10/C10</f>
        <v>1.2371847519353039</v>
      </c>
      <c r="G10" s="83">
        <v>545367</v>
      </c>
      <c r="H10" s="83">
        <f>C10-G10</f>
        <v>-1654</v>
      </c>
      <c r="I10" s="84">
        <v>1654</v>
      </c>
      <c r="J10" s="83">
        <f>H10+I10</f>
        <v>0</v>
      </c>
    </row>
    <row r="11" spans="1:12" s="93" customFormat="1" ht="39.950000000000003" customHeight="1">
      <c r="A11" s="89" t="s">
        <v>6</v>
      </c>
      <c r="B11" s="241" t="s">
        <v>242</v>
      </c>
      <c r="C11" s="239">
        <f>74087+32905</f>
        <v>106992</v>
      </c>
      <c r="D11" s="239">
        <v>115094.768419</v>
      </c>
      <c r="E11" s="239">
        <f>D11-C11</f>
        <v>8102.768419</v>
      </c>
      <c r="F11" s="240">
        <f>D11/C11</f>
        <v>1.0757324698949453</v>
      </c>
      <c r="G11" s="90">
        <v>69953</v>
      </c>
      <c r="H11" s="90"/>
      <c r="I11" s="91"/>
      <c r="J11" s="90"/>
      <c r="K11" s="90"/>
      <c r="L11" s="92"/>
    </row>
    <row r="12" spans="1:12" s="93" customFormat="1" ht="39.950000000000003" customHeight="1">
      <c r="A12" s="89" t="s">
        <v>23</v>
      </c>
      <c r="B12" s="241" t="s">
        <v>243</v>
      </c>
      <c r="C12" s="239">
        <f>C13+C29+C43+C44+C45+C46</f>
        <v>436721</v>
      </c>
      <c r="D12" s="239">
        <f>D13+D29+D43+D44+D45+D46</f>
        <v>455373.20158199989</v>
      </c>
      <c r="E12" s="239">
        <f>E13+E29+E43+E44+E45+E46</f>
        <v>22447.501581999961</v>
      </c>
      <c r="F12" s="240">
        <f t="shared" ref="F12:F42" si="0">D12/C12</f>
        <v>1.042709651200652</v>
      </c>
      <c r="G12" s="125">
        <f>C11-G11</f>
        <v>37039</v>
      </c>
      <c r="H12" s="94"/>
      <c r="I12" s="95"/>
      <c r="J12" s="90"/>
      <c r="K12" s="90"/>
      <c r="L12" s="92"/>
    </row>
    <row r="13" spans="1:12" ht="21.95" customHeight="1">
      <c r="A13" s="89" t="s">
        <v>8</v>
      </c>
      <c r="B13" s="241" t="s">
        <v>9</v>
      </c>
      <c r="C13" s="239">
        <f>C14+C28</f>
        <v>91315</v>
      </c>
      <c r="D13" s="239">
        <f>D14+D28</f>
        <v>124141.469893</v>
      </c>
      <c r="E13" s="239">
        <f>E14+E28</f>
        <v>36621.76989299999</v>
      </c>
      <c r="F13" s="240">
        <f t="shared" si="0"/>
        <v>1.3594860635492525</v>
      </c>
      <c r="G13" s="90"/>
      <c r="H13" s="90"/>
      <c r="I13" s="90"/>
    </row>
    <row r="14" spans="1:12" ht="21.95" customHeight="1">
      <c r="A14" s="238" t="s">
        <v>10</v>
      </c>
      <c r="B14" s="242" t="s">
        <v>11</v>
      </c>
      <c r="C14" s="243">
        <f>SUM(C15:C27)</f>
        <v>88813</v>
      </c>
      <c r="D14" s="243">
        <f t="shared" ref="D14" si="1">SUM(D15:D27)</f>
        <v>124141.469893</v>
      </c>
      <c r="E14" s="243">
        <f>SUM(E15:E27)</f>
        <v>39123.76989299999</v>
      </c>
      <c r="F14" s="244">
        <f t="shared" si="0"/>
        <v>1.3977848951504848</v>
      </c>
      <c r="I14" s="83"/>
    </row>
    <row r="15" spans="1:12" ht="21.95" customHeight="1">
      <c r="A15" s="238" t="s">
        <v>12</v>
      </c>
      <c r="B15" s="242" t="s">
        <v>46</v>
      </c>
      <c r="C15" s="243"/>
      <c r="D15" s="243"/>
      <c r="E15" s="243">
        <f>D15-C15</f>
        <v>0</v>
      </c>
      <c r="F15" s="244"/>
      <c r="I15" s="83"/>
    </row>
    <row r="16" spans="1:12" ht="21.95" customHeight="1">
      <c r="A16" s="238" t="s">
        <v>12</v>
      </c>
      <c r="B16" s="242" t="s">
        <v>47</v>
      </c>
      <c r="C16" s="243"/>
      <c r="D16" s="243"/>
      <c r="E16" s="243"/>
      <c r="F16" s="244"/>
      <c r="I16" s="83"/>
    </row>
    <row r="17" spans="1:12" ht="21.95" customHeight="1">
      <c r="A17" s="238" t="s">
        <v>12</v>
      </c>
      <c r="B17" s="242" t="s">
        <v>435</v>
      </c>
      <c r="C17" s="243">
        <f>9833+7419</f>
        <v>17252</v>
      </c>
      <c r="D17" s="243">
        <v>21208.427</v>
      </c>
      <c r="E17" s="243">
        <f t="shared" ref="E17:E19" si="2">D17-C17</f>
        <v>3956.4269999999997</v>
      </c>
      <c r="F17" s="244">
        <f t="shared" si="0"/>
        <v>1.2293314977973568</v>
      </c>
      <c r="I17" s="83"/>
    </row>
    <row r="18" spans="1:12" ht="21.95" customHeight="1">
      <c r="A18" s="238" t="s">
        <v>12</v>
      </c>
      <c r="B18" s="242" t="s">
        <v>436</v>
      </c>
      <c r="C18" s="243"/>
      <c r="D18" s="243">
        <v>0</v>
      </c>
      <c r="E18" s="243">
        <f t="shared" si="2"/>
        <v>0</v>
      </c>
      <c r="F18" s="244"/>
      <c r="I18" s="83"/>
    </row>
    <row r="19" spans="1:12" ht="21.95" customHeight="1">
      <c r="A19" s="238" t="s">
        <v>12</v>
      </c>
      <c r="B19" s="242" t="s">
        <v>422</v>
      </c>
      <c r="C19" s="243"/>
      <c r="D19" s="243">
        <v>0</v>
      </c>
      <c r="E19" s="243">
        <f t="shared" si="2"/>
        <v>0</v>
      </c>
      <c r="F19" s="244"/>
      <c r="I19" s="83"/>
    </row>
    <row r="20" spans="1:12" ht="21.95" customHeight="1">
      <c r="A20" s="238" t="s">
        <v>12</v>
      </c>
      <c r="B20" s="242" t="s">
        <v>437</v>
      </c>
      <c r="C20" s="243">
        <v>2457</v>
      </c>
      <c r="D20" s="243">
        <v>3546.1960170000002</v>
      </c>
      <c r="E20" s="243">
        <f t="shared" ref="E20:E28" si="3">D20-C20</f>
        <v>1089.1960170000002</v>
      </c>
      <c r="F20" s="244"/>
      <c r="I20" s="83"/>
    </row>
    <row r="21" spans="1:12" ht="39.950000000000003" customHeight="1">
      <c r="A21" s="238" t="s">
        <v>12</v>
      </c>
      <c r="B21" s="242" t="s">
        <v>438</v>
      </c>
      <c r="C21" s="243"/>
      <c r="D21" s="243">
        <v>1333.78</v>
      </c>
      <c r="E21" s="243">
        <f t="shared" si="3"/>
        <v>1333.78</v>
      </c>
      <c r="F21" s="244" t="e">
        <f t="shared" si="0"/>
        <v>#DIV/0!</v>
      </c>
      <c r="I21" s="83"/>
    </row>
    <row r="22" spans="1:12" ht="21.95" customHeight="1">
      <c r="A22" s="238" t="s">
        <v>12</v>
      </c>
      <c r="B22" s="242" t="s">
        <v>439</v>
      </c>
      <c r="C22" s="243">
        <v>30</v>
      </c>
      <c r="D22" s="243">
        <v>29.7</v>
      </c>
      <c r="E22" s="243"/>
      <c r="F22" s="244"/>
      <c r="I22" s="83"/>
    </row>
    <row r="23" spans="1:12" ht="21.95" customHeight="1">
      <c r="A23" s="238" t="s">
        <v>12</v>
      </c>
      <c r="B23" s="242" t="s">
        <v>440</v>
      </c>
      <c r="C23" s="243"/>
      <c r="D23" s="243"/>
      <c r="E23" s="243"/>
      <c r="F23" s="244"/>
      <c r="I23" s="83"/>
    </row>
    <row r="24" spans="1:12" ht="21.95" customHeight="1">
      <c r="A24" s="238" t="s">
        <v>12</v>
      </c>
      <c r="B24" s="242" t="s">
        <v>48</v>
      </c>
      <c r="C24" s="243">
        <f>772+52004</f>
        <v>52776</v>
      </c>
      <c r="D24" s="243">
        <v>84671.490393999993</v>
      </c>
      <c r="E24" s="243">
        <f t="shared" si="3"/>
        <v>31895.490393999993</v>
      </c>
      <c r="F24" s="244">
        <f t="shared" si="0"/>
        <v>1.6043559647188115</v>
      </c>
      <c r="I24" s="83"/>
    </row>
    <row r="25" spans="1:12" ht="39.950000000000003" customHeight="1">
      <c r="A25" s="238" t="s">
        <v>12</v>
      </c>
      <c r="B25" s="242" t="s">
        <v>441</v>
      </c>
      <c r="C25" s="243">
        <v>9943</v>
      </c>
      <c r="D25" s="243">
        <v>10791.876482</v>
      </c>
      <c r="E25" s="243">
        <f t="shared" si="3"/>
        <v>848.87648199999967</v>
      </c>
      <c r="F25" s="244">
        <f t="shared" si="0"/>
        <v>1.0853742816051493</v>
      </c>
      <c r="I25" s="83"/>
    </row>
    <row r="26" spans="1:12" ht="21.95" customHeight="1">
      <c r="A26" s="238" t="s">
        <v>12</v>
      </c>
      <c r="B26" s="242" t="s">
        <v>442</v>
      </c>
      <c r="C26" s="243">
        <v>6355</v>
      </c>
      <c r="D26" s="243">
        <v>2560</v>
      </c>
      <c r="E26" s="243"/>
      <c r="F26" s="244"/>
      <c r="I26" s="83"/>
    </row>
    <row r="27" spans="1:12" ht="21.95" customHeight="1">
      <c r="A27" s="238" t="s">
        <v>12</v>
      </c>
      <c r="B27" s="242" t="s">
        <v>443</v>
      </c>
      <c r="C27" s="243"/>
      <c r="D27" s="243"/>
      <c r="E27" s="243"/>
      <c r="F27" s="244"/>
      <c r="I27" s="83"/>
      <c r="L27" s="171"/>
    </row>
    <row r="28" spans="1:12" ht="21.95" customHeight="1">
      <c r="A28" s="238">
        <v>2</v>
      </c>
      <c r="B28" s="242" t="s">
        <v>49</v>
      </c>
      <c r="C28" s="243">
        <v>2502</v>
      </c>
      <c r="D28" s="243"/>
      <c r="E28" s="243">
        <f t="shared" si="3"/>
        <v>-2502</v>
      </c>
      <c r="F28" s="244">
        <f t="shared" si="0"/>
        <v>0</v>
      </c>
      <c r="G28" s="94"/>
      <c r="H28" s="94"/>
      <c r="I28" s="91"/>
      <c r="J28" s="94"/>
      <c r="K28" s="94"/>
      <c r="L28" s="171"/>
    </row>
    <row r="29" spans="1:12" ht="21.95" customHeight="1">
      <c r="A29" s="89" t="s">
        <v>16</v>
      </c>
      <c r="B29" s="241" t="s">
        <v>17</v>
      </c>
      <c r="C29" s="239">
        <f>SUM(C30:C42)</f>
        <v>331779</v>
      </c>
      <c r="D29" s="239">
        <f t="shared" ref="D29:E29" si="4">SUM(D30:D42)</f>
        <v>331231.73168899992</v>
      </c>
      <c r="E29" s="239">
        <f t="shared" si="4"/>
        <v>-547.26831100002846</v>
      </c>
      <c r="F29" s="240">
        <f t="shared" si="0"/>
        <v>0.99835050346465548</v>
      </c>
      <c r="G29" s="90"/>
      <c r="H29" s="90"/>
      <c r="I29" s="90"/>
      <c r="J29" s="90"/>
      <c r="K29" s="90"/>
    </row>
    <row r="30" spans="1:12" ht="21.95" customHeight="1">
      <c r="A30" s="245" t="s">
        <v>10</v>
      </c>
      <c r="B30" s="242" t="s">
        <v>46</v>
      </c>
      <c r="C30" s="243">
        <f>10564+1800</f>
        <v>12364</v>
      </c>
      <c r="D30" s="243">
        <v>11971.681227999999</v>
      </c>
      <c r="E30" s="243">
        <f>D30-C30</f>
        <v>-392.31877200000054</v>
      </c>
      <c r="F30" s="244">
        <f t="shared" si="0"/>
        <v>0.9682692678744742</v>
      </c>
      <c r="G30" s="96"/>
      <c r="I30" s="83"/>
    </row>
    <row r="31" spans="1:12" ht="21.95" customHeight="1">
      <c r="A31" s="245" t="s">
        <v>18</v>
      </c>
      <c r="B31" s="242" t="s">
        <v>47</v>
      </c>
      <c r="C31" s="243">
        <v>2556</v>
      </c>
      <c r="D31" s="243">
        <v>3067.1550000000002</v>
      </c>
      <c r="E31" s="243">
        <f t="shared" ref="E31:E42" si="5">D31-C31</f>
        <v>511.1550000000002</v>
      </c>
      <c r="F31" s="244">
        <f t="shared" si="0"/>
        <v>1.1999823943661974</v>
      </c>
      <c r="G31" s="96"/>
      <c r="I31" s="83"/>
    </row>
    <row r="32" spans="1:12" ht="21.95" customHeight="1">
      <c r="A32" s="245" t="s">
        <v>27</v>
      </c>
      <c r="B32" s="242" t="s">
        <v>435</v>
      </c>
      <c r="C32" s="243">
        <f>224406+5191.7</f>
        <v>229597.7</v>
      </c>
      <c r="D32" s="243">
        <v>230416.90753299999</v>
      </c>
      <c r="E32" s="243">
        <f t="shared" si="5"/>
        <v>819.20753299997887</v>
      </c>
      <c r="F32" s="244">
        <f t="shared" si="0"/>
        <v>1.0035680128023929</v>
      </c>
      <c r="G32" s="96"/>
      <c r="I32" s="83"/>
    </row>
    <row r="33" spans="1:12" ht="21.95" customHeight="1">
      <c r="A33" s="245" t="s">
        <v>28</v>
      </c>
      <c r="B33" s="242" t="s">
        <v>436</v>
      </c>
      <c r="C33" s="243">
        <v>200</v>
      </c>
      <c r="D33" s="243">
        <v>197.16249999999999</v>
      </c>
      <c r="E33" s="243">
        <f t="shared" si="5"/>
        <v>-2.8375000000000057</v>
      </c>
      <c r="F33" s="244">
        <f t="shared" si="0"/>
        <v>0.98581249999999998</v>
      </c>
      <c r="G33" s="96"/>
      <c r="I33" s="83"/>
    </row>
    <row r="34" spans="1:12" ht="21.95" customHeight="1">
      <c r="A34" s="245" t="s">
        <v>29</v>
      </c>
      <c r="B34" s="242" t="s">
        <v>422</v>
      </c>
      <c r="C34" s="243">
        <f>774+746.9</f>
        <v>1520.9</v>
      </c>
      <c r="D34" s="243">
        <v>655.93664999999999</v>
      </c>
      <c r="E34" s="243">
        <f t="shared" si="5"/>
        <v>-864.9633500000001</v>
      </c>
      <c r="F34" s="244">
        <f t="shared" si="0"/>
        <v>0.43128190545071993</v>
      </c>
      <c r="G34" s="96"/>
      <c r="I34" s="83"/>
    </row>
    <row r="35" spans="1:12" ht="21.95" customHeight="1">
      <c r="A35" s="245" t="s">
        <v>30</v>
      </c>
      <c r="B35" s="242" t="s">
        <v>437</v>
      </c>
      <c r="C35" s="243">
        <f>2066+1407.8</f>
        <v>3473.8</v>
      </c>
      <c r="D35" s="243">
        <v>2774.107141</v>
      </c>
      <c r="E35" s="243">
        <f t="shared" si="5"/>
        <v>-699.69285900000023</v>
      </c>
      <c r="F35" s="244">
        <f t="shared" si="0"/>
        <v>0.79857998186424084</v>
      </c>
      <c r="G35" s="96"/>
      <c r="I35" s="83"/>
    </row>
    <row r="36" spans="1:12" ht="39.950000000000003" customHeight="1">
      <c r="A36" s="245" t="s">
        <v>31</v>
      </c>
      <c r="B36" s="242" t="s">
        <v>438</v>
      </c>
      <c r="C36" s="243">
        <v>1499</v>
      </c>
      <c r="D36" s="243">
        <v>1736.360721</v>
      </c>
      <c r="E36" s="243">
        <f t="shared" si="5"/>
        <v>237.36072100000001</v>
      </c>
      <c r="F36" s="244">
        <f t="shared" si="0"/>
        <v>1.1583460446964644</v>
      </c>
      <c r="G36" s="96"/>
      <c r="I36" s="83"/>
    </row>
    <row r="37" spans="1:12" ht="21.95" customHeight="1">
      <c r="A37" s="245" t="s">
        <v>32</v>
      </c>
      <c r="B37" s="242" t="s">
        <v>439</v>
      </c>
      <c r="C37" s="243">
        <f>270+90</f>
        <v>360</v>
      </c>
      <c r="D37" s="243">
        <v>270</v>
      </c>
      <c r="E37" s="243">
        <f t="shared" si="5"/>
        <v>-90</v>
      </c>
      <c r="F37" s="244">
        <f t="shared" si="0"/>
        <v>0.75</v>
      </c>
      <c r="G37" s="96"/>
      <c r="I37" s="83"/>
    </row>
    <row r="38" spans="1:12" ht="21.95" customHeight="1">
      <c r="A38" s="245" t="s">
        <v>33</v>
      </c>
      <c r="B38" s="242" t="s">
        <v>440</v>
      </c>
      <c r="C38" s="243">
        <v>3685</v>
      </c>
      <c r="D38" s="243">
        <v>3685</v>
      </c>
      <c r="E38" s="243">
        <f t="shared" si="5"/>
        <v>0</v>
      </c>
      <c r="F38" s="244">
        <f t="shared" si="0"/>
        <v>1</v>
      </c>
      <c r="G38" s="96"/>
      <c r="I38" s="83"/>
    </row>
    <row r="39" spans="1:12" ht="21.95" customHeight="1">
      <c r="A39" s="245" t="s">
        <v>34</v>
      </c>
      <c r="B39" s="242" t="s">
        <v>48</v>
      </c>
      <c r="C39" s="243">
        <f>15925+80-3696+4171.8</f>
        <v>16480.8</v>
      </c>
      <c r="D39" s="243">
        <v>18142.652957999999</v>
      </c>
      <c r="E39" s="243">
        <f t="shared" si="5"/>
        <v>1661.8529579999995</v>
      </c>
      <c r="F39" s="244">
        <f t="shared" si="0"/>
        <v>1.1008356971748945</v>
      </c>
      <c r="I39" s="83"/>
    </row>
    <row r="40" spans="1:12" ht="39.950000000000003" customHeight="1">
      <c r="A40" s="245" t="s">
        <v>35</v>
      </c>
      <c r="B40" s="242" t="s">
        <v>441</v>
      </c>
      <c r="C40" s="243">
        <f>33683+1238.8</f>
        <v>34921.800000000003</v>
      </c>
      <c r="D40" s="243">
        <v>40009.187749999997</v>
      </c>
      <c r="E40" s="243">
        <f t="shared" si="5"/>
        <v>5087.3877499999944</v>
      </c>
      <c r="F40" s="244">
        <f t="shared" si="0"/>
        <v>1.1456794251728146</v>
      </c>
      <c r="G40" s="96"/>
      <c r="I40" s="83"/>
    </row>
    <row r="41" spans="1:12" ht="21.95" customHeight="1">
      <c r="A41" s="245" t="s">
        <v>36</v>
      </c>
      <c r="B41" s="242" t="s">
        <v>442</v>
      </c>
      <c r="C41" s="243">
        <f>17280+854+2494</f>
        <v>20628</v>
      </c>
      <c r="D41" s="243">
        <v>16233.779208</v>
      </c>
      <c r="E41" s="243">
        <f t="shared" si="5"/>
        <v>-4394.2207920000001</v>
      </c>
      <c r="F41" s="244">
        <f t="shared" si="0"/>
        <v>0.78697785573007561</v>
      </c>
      <c r="G41" s="96"/>
      <c r="I41" s="83"/>
    </row>
    <row r="42" spans="1:12" ht="21.95" customHeight="1">
      <c r="A42" s="245" t="s">
        <v>37</v>
      </c>
      <c r="B42" s="242" t="s">
        <v>444</v>
      </c>
      <c r="C42" s="243">
        <v>4492</v>
      </c>
      <c r="D42" s="243">
        <v>2071.8009999999999</v>
      </c>
      <c r="E42" s="243">
        <f t="shared" si="5"/>
        <v>-2420.1990000000001</v>
      </c>
      <c r="F42" s="244">
        <f t="shared" si="0"/>
        <v>0.46122016918967051</v>
      </c>
      <c r="G42" s="96"/>
      <c r="I42" s="83"/>
    </row>
    <row r="43" spans="1:12" s="93" customFormat="1" ht="39.950000000000003" customHeight="1">
      <c r="A43" s="89" t="s">
        <v>50</v>
      </c>
      <c r="B43" s="241" t="s">
        <v>152</v>
      </c>
      <c r="C43" s="239"/>
      <c r="D43" s="239"/>
      <c r="E43" s="239"/>
      <c r="F43" s="240"/>
      <c r="G43" s="90"/>
      <c r="H43" s="90"/>
      <c r="I43" s="90"/>
      <c r="J43" s="90"/>
      <c r="K43" s="90"/>
      <c r="L43" s="92"/>
    </row>
    <row r="44" spans="1:12" s="93" customFormat="1" ht="21.95" customHeight="1">
      <c r="A44" s="89" t="s">
        <v>51</v>
      </c>
      <c r="B44" s="241" t="s">
        <v>240</v>
      </c>
      <c r="C44" s="239"/>
      <c r="D44" s="239"/>
      <c r="E44" s="239"/>
      <c r="F44" s="240"/>
      <c r="G44" s="90"/>
      <c r="H44" s="90"/>
      <c r="I44" s="90"/>
      <c r="J44" s="90"/>
      <c r="K44" s="90"/>
      <c r="L44" s="92"/>
    </row>
    <row r="45" spans="1:12" s="93" customFormat="1" ht="21.95" customHeight="1">
      <c r="A45" s="89" t="s">
        <v>19</v>
      </c>
      <c r="B45" s="241" t="s">
        <v>20</v>
      </c>
      <c r="C45" s="239">
        <v>7080</v>
      </c>
      <c r="D45" s="239" t="s">
        <v>45</v>
      </c>
      <c r="E45" s="239">
        <f t="shared" ref="E45:E46" si="6">D45-C45</f>
        <v>-7080</v>
      </c>
      <c r="F45" s="240"/>
      <c r="G45" s="90"/>
      <c r="H45" s="90"/>
      <c r="I45" s="90"/>
      <c r="J45" s="90"/>
      <c r="K45" s="90"/>
      <c r="L45" s="92"/>
    </row>
    <row r="46" spans="1:12" s="93" customFormat="1" ht="39.950000000000003" customHeight="1">
      <c r="A46" s="89" t="s">
        <v>21</v>
      </c>
      <c r="B46" s="241" t="s">
        <v>22</v>
      </c>
      <c r="C46" s="239">
        <v>6547</v>
      </c>
      <c r="D46" s="239" t="s">
        <v>45</v>
      </c>
      <c r="E46" s="239">
        <f t="shared" si="6"/>
        <v>-6547</v>
      </c>
      <c r="F46" s="240"/>
      <c r="G46" s="90"/>
      <c r="H46" s="90"/>
      <c r="I46" s="90"/>
      <c r="J46" s="90"/>
      <c r="K46" s="90"/>
      <c r="L46" s="92"/>
    </row>
    <row r="47" spans="1:12" s="93" customFormat="1" ht="39.950000000000003" customHeight="1">
      <c r="A47" s="89" t="s">
        <v>41</v>
      </c>
      <c r="B47" s="241" t="s">
        <v>42</v>
      </c>
      <c r="C47" s="239">
        <v>0</v>
      </c>
      <c r="D47" s="239">
        <v>72090.255974</v>
      </c>
      <c r="E47" s="239">
        <f>D47</f>
        <v>72090.255974</v>
      </c>
      <c r="F47" s="240"/>
      <c r="G47" s="90"/>
      <c r="H47" s="90"/>
      <c r="I47" s="90"/>
      <c r="J47" s="90"/>
      <c r="K47" s="90"/>
      <c r="L47" s="92"/>
    </row>
    <row r="48" spans="1:12" s="93" customFormat="1" ht="39.950000000000003" customHeight="1">
      <c r="A48" s="89" t="s">
        <v>158</v>
      </c>
      <c r="B48" s="241" t="s">
        <v>246</v>
      </c>
      <c r="C48" s="239">
        <v>0</v>
      </c>
      <c r="D48" s="239">
        <v>30115.207053999999</v>
      </c>
      <c r="E48" s="239">
        <f>D48</f>
        <v>30115.207053999999</v>
      </c>
      <c r="F48" s="240"/>
      <c r="G48" s="90"/>
      <c r="H48" s="90"/>
      <c r="I48" s="90"/>
      <c r="J48" s="90"/>
      <c r="K48" s="90"/>
      <c r="L48" s="92"/>
    </row>
    <row r="49" spans="1:10" ht="7.5" customHeight="1">
      <c r="A49" s="86" t="s">
        <v>0</v>
      </c>
      <c r="I49" s="83"/>
    </row>
    <row r="50" spans="1:10" ht="48" customHeight="1">
      <c r="A50" s="172" t="s">
        <v>398</v>
      </c>
      <c r="B50" s="172"/>
      <c r="C50" s="172"/>
      <c r="D50" s="172"/>
      <c r="E50" s="172"/>
      <c r="F50" s="172"/>
    </row>
    <row r="52" spans="1:10">
      <c r="H52" s="97"/>
      <c r="I52" s="97"/>
      <c r="J52" s="97"/>
    </row>
    <row r="53" spans="1:10">
      <c r="H53" s="97"/>
      <c r="I53" s="83"/>
    </row>
    <row r="54" spans="1:10">
      <c r="H54" s="98"/>
      <c r="I54" s="83"/>
    </row>
    <row r="55" spans="1:10">
      <c r="H55" s="97"/>
      <c r="I55" s="83"/>
    </row>
    <row r="56" spans="1:10">
      <c r="H56" s="97"/>
      <c r="I56" s="83"/>
    </row>
    <row r="57" spans="1:10">
      <c r="H57" s="97"/>
      <c r="I57" s="83"/>
    </row>
    <row r="58" spans="1:10">
      <c r="I58" s="83"/>
    </row>
    <row r="59" spans="1:10">
      <c r="I59" s="83"/>
    </row>
    <row r="60" spans="1:10">
      <c r="I60" s="83"/>
    </row>
    <row r="61" spans="1:10">
      <c r="I61" s="83"/>
    </row>
    <row r="62" spans="1:10">
      <c r="I62" s="83"/>
    </row>
    <row r="63" spans="1:10">
      <c r="I63" s="83"/>
    </row>
    <row r="64" spans="1:10">
      <c r="I64" s="83"/>
    </row>
    <row r="65" spans="9:9">
      <c r="I65" s="83"/>
    </row>
  </sheetData>
  <mergeCells count="9">
    <mergeCell ref="L27:L28"/>
    <mergeCell ref="A50:F50"/>
    <mergeCell ref="A3:F3"/>
    <mergeCell ref="A4:F4"/>
    <mergeCell ref="E7:F7"/>
    <mergeCell ref="A7:A8"/>
    <mergeCell ref="B7:B8"/>
    <mergeCell ref="C7:C8"/>
    <mergeCell ref="D7:D8"/>
  </mergeCells>
  <phoneticPr fontId="29" type="noConversion"/>
  <pageMargins left="0.74" right="0.31" top="0.5" bottom="0.5" header="0.27" footer="0.3"/>
  <pageSetup paperSize="9" scale="82" fitToHeight="0" orientation="portrait" verticalDpi="0" r:id="rId1"/>
  <headerFooter>
    <oddFooter>&amp;C&amp;12&amp;P/&amp;N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62"/>
  <sheetViews>
    <sheetView showGridLines="0" workbookViewId="0">
      <selection activeCell="A8" sqref="A8:K59"/>
    </sheetView>
  </sheetViews>
  <sheetFormatPr defaultRowHeight="16.5"/>
  <cols>
    <col min="1" max="1" width="6.42578125" style="63" customWidth="1"/>
    <col min="2" max="2" width="47.28515625" style="63" customWidth="1"/>
    <col min="3" max="4" width="16.5703125" style="63" customWidth="1"/>
    <col min="5" max="5" width="15.28515625" style="63" customWidth="1"/>
    <col min="6" max="7" width="17.42578125" style="63" customWidth="1"/>
    <col min="8" max="8" width="16.42578125" style="63" customWidth="1"/>
    <col min="9" max="10" width="12.5703125" style="63" customWidth="1"/>
    <col min="11" max="11" width="12.42578125" style="63" customWidth="1"/>
    <col min="12" max="12" width="15.85546875" style="63" customWidth="1"/>
    <col min="13" max="16384" width="9.140625" style="63"/>
  </cols>
  <sheetData>
    <row r="1" spans="1:11" ht="16.5" customHeight="1">
      <c r="A1" s="246" t="s">
        <v>52</v>
      </c>
      <c r="B1" s="132"/>
      <c r="C1" s="247"/>
      <c r="D1" s="247"/>
      <c r="E1" s="247"/>
      <c r="F1" s="247"/>
      <c r="G1" s="247"/>
      <c r="H1" s="247"/>
      <c r="I1" s="247"/>
      <c r="J1" s="248"/>
      <c r="K1" s="248"/>
    </row>
    <row r="2" spans="1:11" ht="18.75">
      <c r="A2" s="249" t="s">
        <v>0</v>
      </c>
      <c r="B2" s="248"/>
      <c r="C2" s="248"/>
      <c r="D2" s="248"/>
      <c r="E2" s="248"/>
      <c r="F2" s="248"/>
      <c r="G2" s="248"/>
      <c r="H2" s="248"/>
      <c r="I2" s="248"/>
      <c r="J2" s="248"/>
      <c r="K2" s="248"/>
    </row>
    <row r="3" spans="1:11" ht="18.75">
      <c r="A3" s="250" t="s">
        <v>524</v>
      </c>
      <c r="B3" s="250"/>
      <c r="C3" s="250"/>
      <c r="D3" s="250"/>
      <c r="E3" s="250"/>
      <c r="F3" s="250"/>
      <c r="G3" s="250"/>
      <c r="H3" s="250"/>
      <c r="I3" s="250"/>
      <c r="J3" s="250"/>
      <c r="K3" s="250"/>
    </row>
    <row r="4" spans="1:11" ht="21.75" customHeight="1">
      <c r="A4" s="251" t="s">
        <v>515</v>
      </c>
      <c r="B4" s="251"/>
      <c r="C4" s="251"/>
      <c r="D4" s="251"/>
      <c r="E4" s="251"/>
      <c r="F4" s="251"/>
      <c r="G4" s="251"/>
      <c r="H4" s="251"/>
      <c r="I4" s="251"/>
      <c r="J4" s="251"/>
      <c r="K4" s="251"/>
    </row>
    <row r="5" spans="1:11">
      <c r="A5" s="87" t="s">
        <v>0</v>
      </c>
    </row>
    <row r="6" spans="1:11">
      <c r="J6" s="177" t="s">
        <v>447</v>
      </c>
      <c r="K6" s="177"/>
    </row>
    <row r="7" spans="1:11" ht="7.5" customHeight="1">
      <c r="A7" s="87" t="s">
        <v>0</v>
      </c>
    </row>
    <row r="8" spans="1:11" ht="19.5" customHeight="1">
      <c r="A8" s="175" t="s">
        <v>134</v>
      </c>
      <c r="B8" s="175" t="s">
        <v>2</v>
      </c>
      <c r="C8" s="175" t="s">
        <v>525</v>
      </c>
      <c r="D8" s="175" t="s">
        <v>53</v>
      </c>
      <c r="E8" s="175"/>
      <c r="F8" s="175" t="s">
        <v>540</v>
      </c>
      <c r="G8" s="175" t="s">
        <v>53</v>
      </c>
      <c r="H8" s="175"/>
      <c r="I8" s="175" t="s">
        <v>5</v>
      </c>
      <c r="J8" s="175"/>
      <c r="K8" s="175"/>
    </row>
    <row r="9" spans="1:11" ht="36" customHeight="1">
      <c r="A9" s="175"/>
      <c r="B9" s="175"/>
      <c r="C9" s="175"/>
      <c r="D9" s="89" t="s">
        <v>54</v>
      </c>
      <c r="E9" s="89" t="s">
        <v>55</v>
      </c>
      <c r="F9" s="175"/>
      <c r="G9" s="89" t="s">
        <v>54</v>
      </c>
      <c r="H9" s="89" t="s">
        <v>55</v>
      </c>
      <c r="I9" s="89" t="s">
        <v>249</v>
      </c>
      <c r="J9" s="89" t="s">
        <v>54</v>
      </c>
      <c r="K9" s="89" t="s">
        <v>55</v>
      </c>
    </row>
    <row r="10" spans="1:11">
      <c r="A10" s="89" t="s">
        <v>6</v>
      </c>
      <c r="B10" s="89" t="s">
        <v>23</v>
      </c>
      <c r="C10" s="89" t="s">
        <v>377</v>
      </c>
      <c r="D10" s="89">
        <v>2</v>
      </c>
      <c r="E10" s="89">
        <v>3</v>
      </c>
      <c r="F10" s="89" t="s">
        <v>378</v>
      </c>
      <c r="G10" s="89">
        <v>5</v>
      </c>
      <c r="H10" s="89">
        <v>6</v>
      </c>
      <c r="I10" s="89" t="s">
        <v>379</v>
      </c>
      <c r="J10" s="89" t="s">
        <v>380</v>
      </c>
      <c r="K10" s="89" t="s">
        <v>381</v>
      </c>
    </row>
    <row r="11" spans="1:11" ht="24.75" customHeight="1">
      <c r="A11" s="238"/>
      <c r="B11" s="89" t="s">
        <v>44</v>
      </c>
      <c r="C11" s="239">
        <f>C12+C28</f>
        <v>545367</v>
      </c>
      <c r="D11" s="239">
        <f t="shared" ref="D11:E11" si="0">D12+D28</f>
        <v>446404</v>
      </c>
      <c r="E11" s="239">
        <f t="shared" si="0"/>
        <v>98963</v>
      </c>
      <c r="F11" s="239">
        <f>F12+F28+F58+F59</f>
        <v>694403.36849599995</v>
      </c>
      <c r="G11" s="239">
        <f>G12+G28+G58+G59</f>
        <v>557578.66460999986</v>
      </c>
      <c r="H11" s="239">
        <f>H12+H28+H58+H59</f>
        <v>136824.703886</v>
      </c>
      <c r="I11" s="240">
        <f>F11/C11</f>
        <v>1.2732772032337856</v>
      </c>
      <c r="J11" s="240">
        <f>G11/D11</f>
        <v>1.2490449561607868</v>
      </c>
      <c r="K11" s="240">
        <f>H11/E11</f>
        <v>1.3825844394975901</v>
      </c>
    </row>
    <row r="12" spans="1:11">
      <c r="A12" s="89" t="s">
        <v>6</v>
      </c>
      <c r="B12" s="241" t="s">
        <v>7</v>
      </c>
      <c r="C12" s="239">
        <f>C13+C22+C26+C27</f>
        <v>416401</v>
      </c>
      <c r="D12" s="239">
        <f>D13+D22+D26+D27</f>
        <v>352064</v>
      </c>
      <c r="E12" s="239">
        <f>E13+E22+E26+E27</f>
        <v>64337</v>
      </c>
      <c r="F12" s="239">
        <f>F13+F22</f>
        <v>409105.11782799987</v>
      </c>
      <c r="G12" s="239">
        <f t="shared" ref="G12:H12" si="1">G13+G22</f>
        <v>332174.34602699988</v>
      </c>
      <c r="H12" s="239">
        <f t="shared" si="1"/>
        <v>76930.771800999995</v>
      </c>
      <c r="I12" s="240">
        <f t="shared" ref="I12:I14" si="2">F12/C12</f>
        <v>0.98247871121346941</v>
      </c>
      <c r="J12" s="240">
        <f t="shared" ref="J12:J14" si="3">G12/D12</f>
        <v>0.94350557292708104</v>
      </c>
      <c r="K12" s="240">
        <f t="shared" ref="K12:K14" si="4">H12/E12</f>
        <v>1.195746954334209</v>
      </c>
    </row>
    <row r="13" spans="1:11">
      <c r="A13" s="89" t="s">
        <v>8</v>
      </c>
      <c r="B13" s="241" t="s">
        <v>9</v>
      </c>
      <c r="C13" s="239">
        <f>C14+C21</f>
        <v>15950</v>
      </c>
      <c r="D13" s="239">
        <f>D14+D21</f>
        <v>15050</v>
      </c>
      <c r="E13" s="239">
        <f t="shared" ref="E13" si="5">E14+E21</f>
        <v>900</v>
      </c>
      <c r="F13" s="239">
        <f>F14+F21</f>
        <v>15962.300921</v>
      </c>
      <c r="G13" s="239">
        <f t="shared" ref="G13:H13" si="6">G14+G21</f>
        <v>14642.337756999999</v>
      </c>
      <c r="H13" s="239">
        <f t="shared" si="6"/>
        <v>1319.963164</v>
      </c>
      <c r="I13" s="240">
        <f t="shared" si="2"/>
        <v>1.0007712176175549</v>
      </c>
      <c r="J13" s="240">
        <f t="shared" si="3"/>
        <v>0.97291280777408629</v>
      </c>
      <c r="K13" s="240">
        <f t="shared" si="4"/>
        <v>1.4666257377777778</v>
      </c>
    </row>
    <row r="14" spans="1:11">
      <c r="A14" s="238" t="s">
        <v>10</v>
      </c>
      <c r="B14" s="242" t="s">
        <v>11</v>
      </c>
      <c r="C14" s="243">
        <f>SUM(D14:E14)</f>
        <v>15248</v>
      </c>
      <c r="D14" s="243">
        <v>14348</v>
      </c>
      <c r="E14" s="243">
        <v>900</v>
      </c>
      <c r="F14" s="243">
        <f>SUM(G14:H14)</f>
        <v>15962.300921</v>
      </c>
      <c r="G14" s="243">
        <v>14642.337756999999</v>
      </c>
      <c r="H14" s="243">
        <v>1319.963164</v>
      </c>
      <c r="I14" s="244">
        <f t="shared" si="2"/>
        <v>1.0468455483342078</v>
      </c>
      <c r="J14" s="244">
        <f t="shared" si="3"/>
        <v>1.0205142010733204</v>
      </c>
      <c r="K14" s="244">
        <f t="shared" si="4"/>
        <v>1.4666257377777778</v>
      </c>
    </row>
    <row r="15" spans="1:11">
      <c r="A15" s="245" t="s">
        <v>387</v>
      </c>
      <c r="B15" s="242" t="s">
        <v>409</v>
      </c>
      <c r="C15" s="243"/>
      <c r="D15" s="243"/>
      <c r="E15" s="243"/>
      <c r="F15" s="243"/>
      <c r="G15" s="243"/>
      <c r="H15" s="243"/>
      <c r="I15" s="244"/>
      <c r="J15" s="244"/>
      <c r="K15" s="244"/>
    </row>
    <row r="16" spans="1:11" s="99" customFormat="1">
      <c r="A16" s="252" t="s">
        <v>12</v>
      </c>
      <c r="B16" s="253" t="s">
        <v>13</v>
      </c>
      <c r="C16" s="254">
        <f>SUM(D16:E16)</f>
        <v>9833</v>
      </c>
      <c r="D16" s="254">
        <v>9833</v>
      </c>
      <c r="E16" s="254"/>
      <c r="F16" s="254">
        <f>SUM(G16:H16)</f>
        <v>6407.6790000000001</v>
      </c>
      <c r="G16" s="254">
        <v>6407.6790000000001</v>
      </c>
      <c r="H16" s="254"/>
      <c r="I16" s="255">
        <f t="shared" ref="I16:I52" si="7">F16/C16</f>
        <v>0.65165046272755012</v>
      </c>
      <c r="J16" s="255">
        <f t="shared" ref="J16:J52" si="8">G16/D16</f>
        <v>0.65165046272755012</v>
      </c>
      <c r="K16" s="255"/>
    </row>
    <row r="17" spans="1:11" s="99" customFormat="1">
      <c r="A17" s="252" t="s">
        <v>12</v>
      </c>
      <c r="B17" s="253" t="s">
        <v>14</v>
      </c>
      <c r="C17" s="254">
        <f>SUM(D17:E17)</f>
        <v>0</v>
      </c>
      <c r="D17" s="254"/>
      <c r="E17" s="254"/>
      <c r="F17" s="254">
        <f>SUM(G17:H17)</f>
        <v>0</v>
      </c>
      <c r="G17" s="254"/>
      <c r="H17" s="254"/>
      <c r="I17" s="255"/>
      <c r="J17" s="255"/>
      <c r="K17" s="255"/>
    </row>
    <row r="18" spans="1:11">
      <c r="A18" s="245" t="s">
        <v>387</v>
      </c>
      <c r="B18" s="242" t="s">
        <v>408</v>
      </c>
      <c r="C18" s="243"/>
      <c r="D18" s="243"/>
      <c r="E18" s="243"/>
      <c r="F18" s="243"/>
      <c r="G18" s="243"/>
      <c r="H18" s="243"/>
      <c r="I18" s="255"/>
      <c r="J18" s="255"/>
      <c r="K18" s="255"/>
    </row>
    <row r="19" spans="1:11" s="99" customFormat="1">
      <c r="A19" s="252" t="s">
        <v>12</v>
      </c>
      <c r="B19" s="253" t="s">
        <v>250</v>
      </c>
      <c r="C19" s="254">
        <f>SUM(D19:E19)</f>
        <v>7218</v>
      </c>
      <c r="D19" s="254">
        <f>7020-702</f>
        <v>6318</v>
      </c>
      <c r="E19" s="254">
        <v>900</v>
      </c>
      <c r="F19" s="254">
        <f>SUM(G19:H19)</f>
        <v>3284.3820409999998</v>
      </c>
      <c r="G19" s="254">
        <v>2852.6090559999998</v>
      </c>
      <c r="H19" s="254">
        <v>431.77298500000001</v>
      </c>
      <c r="I19" s="255">
        <f t="shared" si="7"/>
        <v>0.45502660584649485</v>
      </c>
      <c r="J19" s="255">
        <f t="shared" si="8"/>
        <v>0.45150507375751819</v>
      </c>
      <c r="K19" s="255">
        <f t="shared" ref="K19:K46" si="9">H19/E19</f>
        <v>0.47974776111111112</v>
      </c>
    </row>
    <row r="20" spans="1:11" s="99" customFormat="1">
      <c r="A20" s="252" t="s">
        <v>12</v>
      </c>
      <c r="B20" s="253" t="s">
        <v>15</v>
      </c>
      <c r="C20" s="254">
        <f>SUM(D20:E20)</f>
        <v>0</v>
      </c>
      <c r="D20" s="254"/>
      <c r="E20" s="254"/>
      <c r="F20" s="254">
        <f>SUM(G20:H20)</f>
        <v>0</v>
      </c>
      <c r="G20" s="254"/>
      <c r="H20" s="254"/>
      <c r="I20" s="244"/>
      <c r="J20" s="244"/>
      <c r="K20" s="244"/>
    </row>
    <row r="21" spans="1:11">
      <c r="A21" s="245" t="s">
        <v>18</v>
      </c>
      <c r="B21" s="242" t="s">
        <v>49</v>
      </c>
      <c r="C21" s="243">
        <f>SUM(D21:E21)</f>
        <v>702</v>
      </c>
      <c r="D21" s="243">
        <v>702</v>
      </c>
      <c r="E21" s="243"/>
      <c r="F21" s="243"/>
      <c r="G21" s="243"/>
      <c r="H21" s="243"/>
      <c r="I21" s="244">
        <f t="shared" si="7"/>
        <v>0</v>
      </c>
      <c r="J21" s="244">
        <f t="shared" si="8"/>
        <v>0</v>
      </c>
      <c r="K21" s="244"/>
    </row>
    <row r="22" spans="1:11">
      <c r="A22" s="89" t="s">
        <v>16</v>
      </c>
      <c r="B22" s="241" t="s">
        <v>17</v>
      </c>
      <c r="C22" s="239">
        <f>SUM(D22:E22)</f>
        <v>392049</v>
      </c>
      <c r="D22" s="239">
        <f>331858-1924</f>
        <v>329934</v>
      </c>
      <c r="E22" s="239">
        <f>63887-2365+593</f>
        <v>62115</v>
      </c>
      <c r="F22" s="239">
        <f>G22+H22</f>
        <v>393142.81690699985</v>
      </c>
      <c r="G22" s="239">
        <f>297806.57717+27176.3320999999-G44-G46</f>
        <v>317532.00826999987</v>
      </c>
      <c r="H22" s="239">
        <f>77449.984937-H46</f>
        <v>75610.808636999995</v>
      </c>
      <c r="I22" s="240">
        <f t="shared" si="7"/>
        <v>1.0027900005024879</v>
      </c>
      <c r="J22" s="240">
        <f t="shared" si="8"/>
        <v>0.96241068901659077</v>
      </c>
      <c r="K22" s="240">
        <f t="shared" si="9"/>
        <v>1.2172713295822264</v>
      </c>
    </row>
    <row r="23" spans="1:11">
      <c r="A23" s="89"/>
      <c r="B23" s="253" t="s">
        <v>199</v>
      </c>
      <c r="C23" s="239"/>
      <c r="D23" s="239"/>
      <c r="E23" s="239"/>
      <c r="F23" s="239"/>
      <c r="G23" s="239"/>
      <c r="H23" s="239"/>
      <c r="I23" s="244"/>
      <c r="J23" s="244"/>
      <c r="K23" s="244"/>
    </row>
    <row r="24" spans="1:11">
      <c r="A24" s="238" t="s">
        <v>10</v>
      </c>
      <c r="B24" s="242" t="s">
        <v>13</v>
      </c>
      <c r="C24" s="243">
        <f>SUM(D24:E24)</f>
        <v>228075</v>
      </c>
      <c r="D24" s="243">
        <v>227895</v>
      </c>
      <c r="E24" s="243">
        <v>180</v>
      </c>
      <c r="F24" s="243">
        <f>SUM(G24:H24)</f>
        <v>229038.221433</v>
      </c>
      <c r="G24" s="243">
        <v>228863.21143299999</v>
      </c>
      <c r="H24" s="243">
        <v>175.01</v>
      </c>
      <c r="I24" s="244">
        <f t="shared" si="7"/>
        <v>1.0042232661756001</v>
      </c>
      <c r="J24" s="244">
        <f t="shared" si="8"/>
        <v>1.0042484979179007</v>
      </c>
      <c r="K24" s="244">
        <f>H24/E24</f>
        <v>0.97227777777777769</v>
      </c>
    </row>
    <row r="25" spans="1:11">
      <c r="A25" s="238" t="s">
        <v>18</v>
      </c>
      <c r="B25" s="242" t="s">
        <v>14</v>
      </c>
      <c r="C25" s="243">
        <f>SUM(D25:E25)</f>
        <v>200</v>
      </c>
      <c r="D25" s="243">
        <v>200</v>
      </c>
      <c r="E25" s="243"/>
      <c r="F25" s="243">
        <f>SUM(G25:H25)</f>
        <v>197.16249999999999</v>
      </c>
      <c r="G25" s="243">
        <v>197.16249999999999</v>
      </c>
      <c r="H25" s="243"/>
      <c r="I25" s="244">
        <f t="shared" si="7"/>
        <v>0.98581249999999998</v>
      </c>
      <c r="J25" s="244">
        <f t="shared" si="8"/>
        <v>0.98581249999999998</v>
      </c>
      <c r="K25" s="244"/>
    </row>
    <row r="26" spans="1:11" s="93" customFormat="1">
      <c r="A26" s="89" t="s">
        <v>50</v>
      </c>
      <c r="B26" s="241" t="s">
        <v>20</v>
      </c>
      <c r="C26" s="239">
        <f>SUM(D26:E26)</f>
        <v>8402</v>
      </c>
      <c r="D26" s="239">
        <v>7080</v>
      </c>
      <c r="E26" s="239">
        <v>1322</v>
      </c>
      <c r="F26" s="239"/>
      <c r="G26" s="239"/>
      <c r="H26" s="239"/>
      <c r="I26" s="244">
        <f t="shared" si="7"/>
        <v>0</v>
      </c>
      <c r="J26" s="244">
        <f t="shared" si="8"/>
        <v>0</v>
      </c>
      <c r="K26" s="244">
        <f t="shared" si="9"/>
        <v>0</v>
      </c>
    </row>
    <row r="27" spans="1:11" s="93" customFormat="1">
      <c r="A27" s="89" t="s">
        <v>51</v>
      </c>
      <c r="B27" s="241" t="s">
        <v>22</v>
      </c>
      <c r="C27" s="239">
        <f>SUM(D27:E27)</f>
        <v>0</v>
      </c>
      <c r="D27" s="239"/>
      <c r="E27" s="239"/>
      <c r="F27" s="239"/>
      <c r="G27" s="239"/>
      <c r="H27" s="239"/>
      <c r="I27" s="244" t="e">
        <f t="shared" si="7"/>
        <v>#DIV/0!</v>
      </c>
      <c r="J27" s="244" t="e">
        <f t="shared" si="8"/>
        <v>#DIV/0!</v>
      </c>
      <c r="K27" s="244" t="e">
        <f t="shared" si="9"/>
        <v>#DIV/0!</v>
      </c>
    </row>
    <row r="28" spans="1:11" s="93" customFormat="1">
      <c r="A28" s="89" t="s">
        <v>23</v>
      </c>
      <c r="B28" s="241" t="s">
        <v>24</v>
      </c>
      <c r="C28" s="239">
        <f t="shared" ref="C28:H28" si="10">C29+C39</f>
        <v>128966</v>
      </c>
      <c r="D28" s="239">
        <f t="shared" si="10"/>
        <v>94340</v>
      </c>
      <c r="E28" s="239">
        <f t="shared" si="10"/>
        <v>34626</v>
      </c>
      <c r="F28" s="239">
        <f t="shared" si="10"/>
        <v>143420.89371999999</v>
      </c>
      <c r="G28" s="239">
        <f t="shared" si="10"/>
        <v>123198.85555499999</v>
      </c>
      <c r="H28" s="239">
        <f t="shared" si="10"/>
        <v>20222.038164999998</v>
      </c>
      <c r="I28" s="240">
        <f t="shared" si="7"/>
        <v>1.1120829809407129</v>
      </c>
      <c r="J28" s="240">
        <f t="shared" si="8"/>
        <v>1.3059026452724187</v>
      </c>
      <c r="K28" s="240">
        <f t="shared" si="9"/>
        <v>0.58401311629989017</v>
      </c>
    </row>
    <row r="29" spans="1:11" s="93" customFormat="1">
      <c r="A29" s="89" t="s">
        <v>8</v>
      </c>
      <c r="B29" s="241" t="s">
        <v>544</v>
      </c>
      <c r="C29" s="239">
        <f>C30+C33+C36</f>
        <v>116511</v>
      </c>
      <c r="D29" s="239">
        <f t="shared" ref="D29:H29" si="11">D30+D33+D36</f>
        <v>83606</v>
      </c>
      <c r="E29" s="239">
        <f t="shared" si="11"/>
        <v>32905</v>
      </c>
      <c r="F29" s="239">
        <f t="shared" si="11"/>
        <v>121346.62082699999</v>
      </c>
      <c r="G29" s="239">
        <f t="shared" si="11"/>
        <v>102963.75896199999</v>
      </c>
      <c r="H29" s="239">
        <f t="shared" si="11"/>
        <v>18382.861864999999</v>
      </c>
      <c r="I29" s="244"/>
      <c r="J29" s="244"/>
      <c r="K29" s="244"/>
    </row>
    <row r="30" spans="1:11">
      <c r="A30" s="245" t="s">
        <v>10</v>
      </c>
      <c r="B30" s="242" t="s">
        <v>244</v>
      </c>
      <c r="C30" s="243">
        <f>SUM(C31:C32)</f>
        <v>12112</v>
      </c>
      <c r="D30" s="243">
        <f t="shared" ref="D30:H30" si="12">SUM(D31:D32)</f>
        <v>6062</v>
      </c>
      <c r="E30" s="243">
        <f t="shared" si="12"/>
        <v>6050</v>
      </c>
      <c r="F30" s="243">
        <f>SUM(F31:F32)</f>
        <v>5131.2860900000005</v>
      </c>
      <c r="G30" s="243">
        <f t="shared" si="12"/>
        <v>1213.8093200000001</v>
      </c>
      <c r="H30" s="243">
        <f t="shared" si="12"/>
        <v>3917.4767700000002</v>
      </c>
      <c r="I30" s="244"/>
      <c r="J30" s="244"/>
      <c r="K30" s="244"/>
    </row>
    <row r="31" spans="1:11">
      <c r="A31" s="245" t="s">
        <v>12</v>
      </c>
      <c r="B31" s="242" t="s">
        <v>414</v>
      </c>
      <c r="C31" s="243">
        <f>SUM(D31:E31)</f>
        <v>0</v>
      </c>
      <c r="D31" s="243"/>
      <c r="E31" s="243"/>
      <c r="F31" s="243">
        <f>SUM(G31:H31)</f>
        <v>0</v>
      </c>
      <c r="G31" s="243"/>
      <c r="H31" s="243"/>
      <c r="I31" s="244"/>
      <c r="J31" s="244"/>
      <c r="K31" s="244"/>
    </row>
    <row r="32" spans="1:11">
      <c r="A32" s="245" t="s">
        <v>12</v>
      </c>
      <c r="B32" s="242" t="s">
        <v>415</v>
      </c>
      <c r="C32" s="243">
        <f>SUM(D32:E32)</f>
        <v>12112</v>
      </c>
      <c r="D32" s="243">
        <v>6062</v>
      </c>
      <c r="E32" s="243">
        <v>6050</v>
      </c>
      <c r="F32" s="243">
        <f>SUM(G32:H32)</f>
        <v>5131.2860900000005</v>
      </c>
      <c r="G32" s="243">
        <v>1213.8093200000001</v>
      </c>
      <c r="H32" s="243">
        <v>3917.4767700000002</v>
      </c>
      <c r="I32" s="244"/>
      <c r="J32" s="244"/>
      <c r="K32" s="244"/>
    </row>
    <row r="33" spans="1:12">
      <c r="A33" s="245" t="s">
        <v>18</v>
      </c>
      <c r="B33" s="242" t="s">
        <v>245</v>
      </c>
      <c r="C33" s="243">
        <f>SUM(C34:C35)</f>
        <v>7757</v>
      </c>
      <c r="D33" s="243">
        <f t="shared" ref="D33:H33" si="13">SUM(D34:D35)</f>
        <v>5705</v>
      </c>
      <c r="E33" s="243">
        <f t="shared" si="13"/>
        <v>2052</v>
      </c>
      <c r="F33" s="243">
        <f t="shared" si="13"/>
        <v>14912.162471</v>
      </c>
      <c r="G33" s="243">
        <f t="shared" si="13"/>
        <v>13029.302079999999</v>
      </c>
      <c r="H33" s="243">
        <f t="shared" si="13"/>
        <v>1882.8603909999999</v>
      </c>
      <c r="I33" s="244"/>
      <c r="J33" s="244"/>
      <c r="K33" s="244"/>
    </row>
    <row r="34" spans="1:12">
      <c r="A34" s="245" t="s">
        <v>12</v>
      </c>
      <c r="B34" s="242" t="s">
        <v>414</v>
      </c>
      <c r="C34" s="243">
        <f>SUM(D34:E34)</f>
        <v>3039</v>
      </c>
      <c r="D34" s="243">
        <v>3039</v>
      </c>
      <c r="E34" s="243"/>
      <c r="F34" s="243">
        <f>SUM(G34:H34)</f>
        <v>11898.254199999999</v>
      </c>
      <c r="G34" s="243">
        <v>11898.254199999999</v>
      </c>
      <c r="H34" s="243"/>
      <c r="I34" s="244"/>
      <c r="J34" s="244"/>
      <c r="K34" s="244"/>
    </row>
    <row r="35" spans="1:12">
      <c r="A35" s="245" t="s">
        <v>12</v>
      </c>
      <c r="B35" s="242" t="s">
        <v>415</v>
      </c>
      <c r="C35" s="243">
        <f>SUM(D35:E35)</f>
        <v>4718</v>
      </c>
      <c r="D35" s="243">
        <v>2666</v>
      </c>
      <c r="E35" s="243">
        <v>2052</v>
      </c>
      <c r="F35" s="243">
        <f>SUM(G35:H35)</f>
        <v>3013.9082710000002</v>
      </c>
      <c r="G35" s="243">
        <v>1131.0478800000001</v>
      </c>
      <c r="H35" s="243">
        <v>1882.8603909999999</v>
      </c>
      <c r="I35" s="244"/>
      <c r="J35" s="244"/>
      <c r="K35" s="244"/>
    </row>
    <row r="36" spans="1:12" ht="33">
      <c r="A36" s="245" t="s">
        <v>27</v>
      </c>
      <c r="B36" s="242" t="s">
        <v>448</v>
      </c>
      <c r="C36" s="243">
        <f>SUM(C37:C38)</f>
        <v>96642</v>
      </c>
      <c r="D36" s="243">
        <f t="shared" ref="D36:H36" si="14">SUM(D37:D38)</f>
        <v>71839</v>
      </c>
      <c r="E36" s="243">
        <f t="shared" si="14"/>
        <v>24803</v>
      </c>
      <c r="F36" s="243">
        <f t="shared" si="14"/>
        <v>101303.17226599999</v>
      </c>
      <c r="G36" s="243">
        <f t="shared" si="14"/>
        <v>88720.647561999998</v>
      </c>
      <c r="H36" s="243">
        <f t="shared" si="14"/>
        <v>12582.524703999999</v>
      </c>
      <c r="I36" s="244"/>
      <c r="J36" s="244"/>
      <c r="K36" s="244"/>
    </row>
    <row r="37" spans="1:12">
      <c r="A37" s="245" t="s">
        <v>12</v>
      </c>
      <c r="B37" s="242" t="s">
        <v>414</v>
      </c>
      <c r="C37" s="243">
        <f>SUM(D37:E37)</f>
        <v>65226</v>
      </c>
      <c r="D37" s="243">
        <v>65226</v>
      </c>
      <c r="E37" s="243"/>
      <c r="F37" s="243">
        <f>SUM(G37:H37)</f>
        <v>85028.700842999999</v>
      </c>
      <c r="G37" s="243">
        <v>84816.682342999993</v>
      </c>
      <c r="H37" s="243">
        <v>212.01849999999999</v>
      </c>
      <c r="I37" s="244"/>
      <c r="J37" s="244"/>
      <c r="K37" s="244"/>
    </row>
    <row r="38" spans="1:12">
      <c r="A38" s="245" t="s">
        <v>12</v>
      </c>
      <c r="B38" s="242" t="s">
        <v>415</v>
      </c>
      <c r="C38" s="243">
        <f>SUM(D38:E38)</f>
        <v>31416</v>
      </c>
      <c r="D38" s="243">
        <v>6613</v>
      </c>
      <c r="E38" s="243">
        <v>24803</v>
      </c>
      <c r="F38" s="243">
        <f>SUM(G38:H38)</f>
        <v>16274.471422999999</v>
      </c>
      <c r="G38" s="243">
        <v>3903.9652190000002</v>
      </c>
      <c r="H38" s="243">
        <v>12370.506203999999</v>
      </c>
      <c r="I38" s="244"/>
      <c r="J38" s="244"/>
      <c r="K38" s="244"/>
      <c r="L38" s="63">
        <v>983</v>
      </c>
    </row>
    <row r="39" spans="1:12" s="93" customFormat="1">
      <c r="A39" s="89" t="s">
        <v>16</v>
      </c>
      <c r="B39" s="241" t="s">
        <v>155</v>
      </c>
      <c r="C39" s="239">
        <f t="shared" ref="C39:H39" si="15">C40+C46</f>
        <v>12455</v>
      </c>
      <c r="D39" s="239">
        <f t="shared" si="15"/>
        <v>10734</v>
      </c>
      <c r="E39" s="239">
        <f t="shared" si="15"/>
        <v>1721</v>
      </c>
      <c r="F39" s="239">
        <f t="shared" si="15"/>
        <v>22074.272892999998</v>
      </c>
      <c r="G39" s="239">
        <f t="shared" si="15"/>
        <v>20235.096592999998</v>
      </c>
      <c r="H39" s="239">
        <f t="shared" si="15"/>
        <v>1839.1763000000001</v>
      </c>
      <c r="I39" s="240">
        <f t="shared" si="7"/>
        <v>1.7723221913287834</v>
      </c>
      <c r="J39" s="240">
        <f t="shared" si="8"/>
        <v>1.8851403570896217</v>
      </c>
      <c r="K39" s="240">
        <f t="shared" si="9"/>
        <v>1.0686672283556073</v>
      </c>
      <c r="L39" s="128">
        <f>H38-L38</f>
        <v>11387.506203999999</v>
      </c>
    </row>
    <row r="40" spans="1:12" s="64" customFormat="1" ht="17.25">
      <c r="A40" s="256" t="s">
        <v>410</v>
      </c>
      <c r="B40" s="257" t="s">
        <v>411</v>
      </c>
      <c r="C40" s="258">
        <f t="shared" ref="C40:H40" si="16">SUM(C41:C45)</f>
        <v>8000</v>
      </c>
      <c r="D40" s="258">
        <f t="shared" si="16"/>
        <v>8000</v>
      </c>
      <c r="E40" s="258">
        <f t="shared" si="16"/>
        <v>0</v>
      </c>
      <c r="F40" s="258">
        <f t="shared" si="16"/>
        <v>13584.096592999998</v>
      </c>
      <c r="G40" s="258">
        <f t="shared" si="16"/>
        <v>13584.096592999998</v>
      </c>
      <c r="H40" s="258">
        <f t="shared" si="16"/>
        <v>0</v>
      </c>
      <c r="I40" s="259">
        <f t="shared" si="7"/>
        <v>1.6980120741249998</v>
      </c>
      <c r="J40" s="259">
        <f t="shared" si="8"/>
        <v>1.6980120741249998</v>
      </c>
      <c r="K40" s="244"/>
    </row>
    <row r="41" spans="1:12" ht="33">
      <c r="A41" s="260" t="s">
        <v>10</v>
      </c>
      <c r="B41" s="261" t="s">
        <v>416</v>
      </c>
      <c r="C41" s="243">
        <f>SUM(D41:E41)</f>
        <v>2780</v>
      </c>
      <c r="D41" s="243">
        <v>2780</v>
      </c>
      <c r="E41" s="243"/>
      <c r="F41" s="243">
        <f>SUM(G41:H41)</f>
        <v>2693.105</v>
      </c>
      <c r="G41" s="243">
        <v>2693.105</v>
      </c>
      <c r="H41" s="243"/>
      <c r="I41" s="244">
        <f t="shared" si="7"/>
        <v>0.96874280575539573</v>
      </c>
      <c r="J41" s="244">
        <f t="shared" si="8"/>
        <v>0.96874280575539573</v>
      </c>
      <c r="K41" s="244"/>
    </row>
    <row r="42" spans="1:12">
      <c r="A42" s="260" t="s">
        <v>18</v>
      </c>
      <c r="B42" s="261" t="s">
        <v>417</v>
      </c>
      <c r="C42" s="243">
        <f t="shared" ref="C42:C45" si="17">SUM(D42:E42)</f>
        <v>920</v>
      </c>
      <c r="D42" s="243">
        <v>920</v>
      </c>
      <c r="E42" s="243"/>
      <c r="F42" s="243">
        <f t="shared" ref="F42:F45" si="18">SUM(G42:H42)</f>
        <v>1099.8420000000001</v>
      </c>
      <c r="G42" s="243">
        <v>1099.8420000000001</v>
      </c>
      <c r="H42" s="243"/>
      <c r="I42" s="244">
        <f t="shared" si="7"/>
        <v>1.1954804347826089</v>
      </c>
      <c r="J42" s="244">
        <f t="shared" si="8"/>
        <v>1.1954804347826089</v>
      </c>
      <c r="K42" s="244"/>
      <c r="L42" s="63">
        <v>8699271500</v>
      </c>
    </row>
    <row r="43" spans="1:12" ht="33">
      <c r="A43" s="260" t="s">
        <v>27</v>
      </c>
      <c r="B43" s="261" t="s">
        <v>418</v>
      </c>
      <c r="C43" s="243">
        <f t="shared" si="17"/>
        <v>2500</v>
      </c>
      <c r="D43" s="243">
        <v>2500</v>
      </c>
      <c r="E43" s="243"/>
      <c r="F43" s="243">
        <f t="shared" si="18"/>
        <v>2406.8629999999998</v>
      </c>
      <c r="G43" s="243">
        <v>2406.8629999999998</v>
      </c>
      <c r="H43" s="243"/>
      <c r="I43" s="244">
        <f t="shared" si="7"/>
        <v>0.96274519999999997</v>
      </c>
      <c r="J43" s="244">
        <f t="shared" si="8"/>
        <v>0.96274519999999997</v>
      </c>
      <c r="K43" s="244"/>
    </row>
    <row r="44" spans="1:12" ht="99">
      <c r="A44" s="260" t="s">
        <v>28</v>
      </c>
      <c r="B44" s="261" t="s">
        <v>449</v>
      </c>
      <c r="C44" s="243">
        <f t="shared" si="17"/>
        <v>1800</v>
      </c>
      <c r="D44" s="243">
        <v>1800</v>
      </c>
      <c r="E44" s="243"/>
      <c r="F44" s="243">
        <f t="shared" si="18"/>
        <v>799.90099999999995</v>
      </c>
      <c r="G44" s="243">
        <v>799.90099999999995</v>
      </c>
      <c r="H44" s="243"/>
      <c r="I44" s="244">
        <f t="shared" si="7"/>
        <v>0.44438944444444439</v>
      </c>
      <c r="J44" s="244">
        <f t="shared" si="8"/>
        <v>0.44438944444444439</v>
      </c>
      <c r="K44" s="244"/>
    </row>
    <row r="45" spans="1:12" ht="33">
      <c r="A45" s="260" t="s">
        <v>30</v>
      </c>
      <c r="B45" s="262" t="s">
        <v>419</v>
      </c>
      <c r="C45" s="243">
        <f t="shared" si="17"/>
        <v>0</v>
      </c>
      <c r="D45" s="263"/>
      <c r="E45" s="243"/>
      <c r="F45" s="243">
        <f t="shared" si="18"/>
        <v>6584.385593</v>
      </c>
      <c r="G45" s="243">
        <v>6584.385593</v>
      </c>
      <c r="H45" s="243"/>
      <c r="I45" s="244"/>
      <c r="J45" s="244"/>
      <c r="K45" s="244"/>
    </row>
    <row r="46" spans="1:12" s="64" customFormat="1" ht="17.25">
      <c r="A46" s="256" t="s">
        <v>412</v>
      </c>
      <c r="B46" s="264" t="s">
        <v>413</v>
      </c>
      <c r="C46" s="258">
        <f t="shared" ref="C46:H46" si="19">C47+C50</f>
        <v>4455</v>
      </c>
      <c r="D46" s="258">
        <f t="shared" si="19"/>
        <v>2734</v>
      </c>
      <c r="E46" s="258">
        <f t="shared" si="19"/>
        <v>1721</v>
      </c>
      <c r="F46" s="258">
        <f t="shared" si="19"/>
        <v>8490.1762999999992</v>
      </c>
      <c r="G46" s="258">
        <f t="shared" si="19"/>
        <v>6651</v>
      </c>
      <c r="H46" s="258">
        <f t="shared" si="19"/>
        <v>1839.1763000000001</v>
      </c>
      <c r="I46" s="259">
        <f t="shared" si="7"/>
        <v>1.9057634792368123</v>
      </c>
      <c r="J46" s="259">
        <f t="shared" si="8"/>
        <v>2.4326993416239939</v>
      </c>
      <c r="K46" s="259">
        <f t="shared" si="9"/>
        <v>1.0686672283556073</v>
      </c>
      <c r="L46" s="64">
        <v>16741.079730999998</v>
      </c>
    </row>
    <row r="47" spans="1:12">
      <c r="A47" s="260" t="s">
        <v>10</v>
      </c>
      <c r="B47" s="262" t="s">
        <v>450</v>
      </c>
      <c r="C47" s="243">
        <f t="shared" ref="C47:H47" si="20">SUM(C48:C49)</f>
        <v>80</v>
      </c>
      <c r="D47" s="243">
        <f t="shared" si="20"/>
        <v>80</v>
      </c>
      <c r="E47" s="243">
        <f t="shared" si="20"/>
        <v>0</v>
      </c>
      <c r="F47" s="243">
        <f t="shared" si="20"/>
        <v>3580</v>
      </c>
      <c r="G47" s="243">
        <f t="shared" si="20"/>
        <v>3580</v>
      </c>
      <c r="H47" s="243">
        <f t="shared" si="20"/>
        <v>0</v>
      </c>
      <c r="I47" s="244">
        <f t="shared" ref="I47" si="21">F47/C47</f>
        <v>44.75</v>
      </c>
      <c r="J47" s="244">
        <f>G47/D47</f>
        <v>44.75</v>
      </c>
      <c r="K47" s="244"/>
    </row>
    <row r="48" spans="1:12" ht="33">
      <c r="A48" s="260" t="s">
        <v>12</v>
      </c>
      <c r="B48" s="261" t="s">
        <v>421</v>
      </c>
      <c r="C48" s="243">
        <f t="shared" ref="C48:C49" si="22">SUM(D48:E48)</f>
        <v>80</v>
      </c>
      <c r="D48" s="265">
        <v>80</v>
      </c>
      <c r="E48" s="243"/>
      <c r="F48" s="243">
        <f>SUM(G48:H48)</f>
        <v>80</v>
      </c>
      <c r="G48" s="243">
        <v>80</v>
      </c>
      <c r="H48" s="243"/>
      <c r="I48" s="244">
        <f t="shared" si="7"/>
        <v>1</v>
      </c>
      <c r="J48" s="244">
        <f t="shared" si="8"/>
        <v>1</v>
      </c>
      <c r="K48" s="244"/>
    </row>
    <row r="49" spans="1:11" ht="33">
      <c r="A49" s="260" t="s">
        <v>12</v>
      </c>
      <c r="B49" s="261" t="s">
        <v>542</v>
      </c>
      <c r="C49" s="243">
        <f t="shared" si="22"/>
        <v>0</v>
      </c>
      <c r="D49" s="265"/>
      <c r="E49" s="243"/>
      <c r="F49" s="243">
        <f t="shared" ref="F49" si="23">SUM(G49:H49)</f>
        <v>3500</v>
      </c>
      <c r="G49" s="243">
        <v>3500</v>
      </c>
      <c r="H49" s="243"/>
      <c r="I49" s="244"/>
      <c r="J49" s="244"/>
      <c r="K49" s="244"/>
    </row>
    <row r="50" spans="1:11">
      <c r="A50" s="260" t="s">
        <v>18</v>
      </c>
      <c r="B50" s="261" t="s">
        <v>451</v>
      </c>
      <c r="C50" s="243">
        <f t="shared" ref="C50:H50" si="24">SUM(C51:C57)</f>
        <v>4375</v>
      </c>
      <c r="D50" s="243">
        <f t="shared" si="24"/>
        <v>2654</v>
      </c>
      <c r="E50" s="243">
        <f t="shared" si="24"/>
        <v>1721</v>
      </c>
      <c r="F50" s="243">
        <f t="shared" si="24"/>
        <v>4910.1763000000001</v>
      </c>
      <c r="G50" s="243">
        <f t="shared" si="24"/>
        <v>3071</v>
      </c>
      <c r="H50" s="243">
        <f t="shared" si="24"/>
        <v>1839.1763000000001</v>
      </c>
      <c r="I50" s="244">
        <f t="shared" si="7"/>
        <v>1.1223260114285714</v>
      </c>
      <c r="J50" s="244">
        <f t="shared" si="8"/>
        <v>1.1571213262999247</v>
      </c>
      <c r="K50" s="244">
        <f>H50/E50</f>
        <v>1.0686672283556073</v>
      </c>
    </row>
    <row r="51" spans="1:11" ht="49.5">
      <c r="A51" s="260" t="s">
        <v>12</v>
      </c>
      <c r="B51" s="261" t="s">
        <v>452</v>
      </c>
      <c r="C51" s="243">
        <f t="shared" ref="C51:C55" si="25">SUM(D51:E51)</f>
        <v>102</v>
      </c>
      <c r="D51" s="265"/>
      <c r="E51" s="243">
        <v>102</v>
      </c>
      <c r="F51" s="243">
        <f>SUM(G51:H51)</f>
        <v>99</v>
      </c>
      <c r="G51" s="243"/>
      <c r="H51" s="243">
        <v>99</v>
      </c>
      <c r="I51" s="244">
        <f t="shared" si="7"/>
        <v>0.97058823529411764</v>
      </c>
      <c r="J51" s="244"/>
      <c r="K51" s="244">
        <f>H51/E51</f>
        <v>0.97058823529411764</v>
      </c>
    </row>
    <row r="52" spans="1:11" ht="33">
      <c r="A52" s="260" t="s">
        <v>12</v>
      </c>
      <c r="B52" s="261" t="s">
        <v>537</v>
      </c>
      <c r="C52" s="243">
        <f t="shared" si="25"/>
        <v>1800</v>
      </c>
      <c r="D52" s="265">
        <v>1800</v>
      </c>
      <c r="E52" s="243"/>
      <c r="F52" s="243">
        <f>SUM(G52:H52)</f>
        <v>1800</v>
      </c>
      <c r="G52" s="243">
        <v>1800</v>
      </c>
      <c r="H52" s="243"/>
      <c r="I52" s="244">
        <f t="shared" si="7"/>
        <v>1</v>
      </c>
      <c r="J52" s="244">
        <f t="shared" si="8"/>
        <v>1</v>
      </c>
      <c r="K52" s="244"/>
    </row>
    <row r="53" spans="1:11" ht="33">
      <c r="A53" s="260" t="s">
        <v>12</v>
      </c>
      <c r="B53" s="261" t="s">
        <v>539</v>
      </c>
      <c r="C53" s="243">
        <f t="shared" si="25"/>
        <v>854</v>
      </c>
      <c r="D53" s="265">
        <v>854</v>
      </c>
      <c r="E53" s="243"/>
      <c r="F53" s="243">
        <f t="shared" ref="F53:F55" si="26">SUM(G53:H53)</f>
        <v>1271</v>
      </c>
      <c r="G53" s="243">
        <f>854+417</f>
        <v>1271</v>
      </c>
      <c r="H53" s="243"/>
      <c r="I53" s="244"/>
      <c r="J53" s="244"/>
      <c r="K53" s="244"/>
    </row>
    <row r="54" spans="1:11" ht="66">
      <c r="A54" s="260" t="s">
        <v>12</v>
      </c>
      <c r="B54" s="261" t="s">
        <v>453</v>
      </c>
      <c r="C54" s="243">
        <f t="shared" si="25"/>
        <v>1270</v>
      </c>
      <c r="D54" s="265"/>
      <c r="E54" s="243">
        <v>1270</v>
      </c>
      <c r="F54" s="243">
        <f t="shared" si="26"/>
        <v>1269.7718</v>
      </c>
      <c r="G54" s="243"/>
      <c r="H54" s="243">
        <v>1269.7718</v>
      </c>
      <c r="I54" s="244"/>
      <c r="J54" s="244"/>
      <c r="K54" s="244"/>
    </row>
    <row r="55" spans="1:11" ht="49.5">
      <c r="A55" s="260" t="s">
        <v>12</v>
      </c>
      <c r="B55" s="261" t="s">
        <v>541</v>
      </c>
      <c r="C55" s="243">
        <f t="shared" si="25"/>
        <v>0</v>
      </c>
      <c r="D55" s="265"/>
      <c r="E55" s="243"/>
      <c r="F55" s="243">
        <f t="shared" si="26"/>
        <v>16</v>
      </c>
      <c r="G55" s="243"/>
      <c r="H55" s="243">
        <v>16</v>
      </c>
      <c r="I55" s="244"/>
      <c r="J55" s="244"/>
      <c r="K55" s="244"/>
    </row>
    <row r="56" spans="1:11" ht="49.5">
      <c r="A56" s="260" t="s">
        <v>12</v>
      </c>
      <c r="B56" s="261" t="s">
        <v>538</v>
      </c>
      <c r="C56" s="243">
        <f t="shared" ref="C56:C57" si="27">SUM(D56:E56)</f>
        <v>349</v>
      </c>
      <c r="D56" s="265"/>
      <c r="E56" s="243">
        <v>349</v>
      </c>
      <c r="F56" s="243">
        <f t="shared" ref="F56:F57" si="28">SUM(G56:H56)</f>
        <v>349</v>
      </c>
      <c r="G56" s="243"/>
      <c r="H56" s="243">
        <v>349</v>
      </c>
      <c r="I56" s="244"/>
      <c r="J56" s="244"/>
      <c r="K56" s="244"/>
    </row>
    <row r="57" spans="1:11" ht="33">
      <c r="A57" s="260" t="s">
        <v>12</v>
      </c>
      <c r="B57" s="261" t="s">
        <v>543</v>
      </c>
      <c r="C57" s="243">
        <f t="shared" si="27"/>
        <v>0</v>
      </c>
      <c r="D57" s="265"/>
      <c r="E57" s="243"/>
      <c r="F57" s="243">
        <f t="shared" si="28"/>
        <v>105.4045</v>
      </c>
      <c r="G57" s="243"/>
      <c r="H57" s="243">
        <v>105.4045</v>
      </c>
      <c r="I57" s="244"/>
      <c r="J57" s="244"/>
      <c r="K57" s="244"/>
    </row>
    <row r="58" spans="1:11">
      <c r="A58" s="89" t="s">
        <v>41</v>
      </c>
      <c r="B58" s="241" t="s">
        <v>42</v>
      </c>
      <c r="C58" s="239">
        <v>0</v>
      </c>
      <c r="D58" s="239">
        <v>0</v>
      </c>
      <c r="E58" s="239">
        <v>0</v>
      </c>
      <c r="F58" s="239">
        <f>SUM(G58:H58)</f>
        <v>110746.843757</v>
      </c>
      <c r="G58" s="239">
        <v>72090.255974</v>
      </c>
      <c r="H58" s="239">
        <v>38656.587783000003</v>
      </c>
      <c r="I58" s="244"/>
      <c r="J58" s="244"/>
      <c r="K58" s="244"/>
    </row>
    <row r="59" spans="1:11">
      <c r="A59" s="89" t="s">
        <v>158</v>
      </c>
      <c r="B59" s="241" t="s">
        <v>246</v>
      </c>
      <c r="C59" s="239">
        <v>0</v>
      </c>
      <c r="D59" s="239">
        <v>0</v>
      </c>
      <c r="E59" s="239">
        <v>0</v>
      </c>
      <c r="F59" s="239">
        <f>SUM(G59:H59)</f>
        <v>31130.513190999998</v>
      </c>
      <c r="G59" s="239">
        <v>30115.207053999999</v>
      </c>
      <c r="H59" s="239">
        <v>1015.306137</v>
      </c>
      <c r="I59" s="244"/>
      <c r="J59" s="244"/>
      <c r="K59" s="244"/>
    </row>
    <row r="60" spans="1:11" ht="6" customHeight="1">
      <c r="A60" s="87" t="s">
        <v>0</v>
      </c>
    </row>
    <row r="61" spans="1:11" ht="36" customHeight="1">
      <c r="A61" s="176" t="s">
        <v>398</v>
      </c>
      <c r="B61" s="176"/>
      <c r="C61" s="176"/>
      <c r="D61" s="176"/>
      <c r="E61" s="176"/>
      <c r="F61" s="176"/>
      <c r="G61" s="176"/>
      <c r="H61" s="176"/>
      <c r="I61" s="176"/>
      <c r="J61" s="176"/>
      <c r="K61" s="176"/>
    </row>
    <row r="62" spans="1:11">
      <c r="A62" s="176" t="s">
        <v>545</v>
      </c>
      <c r="B62" s="176"/>
      <c r="C62" s="176"/>
      <c r="D62" s="176"/>
      <c r="E62" s="176"/>
      <c r="F62" s="176"/>
      <c r="G62" s="176"/>
      <c r="H62" s="176"/>
      <c r="I62" s="176"/>
      <c r="J62" s="176"/>
      <c r="K62" s="176"/>
    </row>
  </sheetData>
  <mergeCells count="12">
    <mergeCell ref="A62:K62"/>
    <mergeCell ref="A61:K61"/>
    <mergeCell ref="A3:K3"/>
    <mergeCell ref="A4:K4"/>
    <mergeCell ref="A8:A9"/>
    <mergeCell ref="D8:E8"/>
    <mergeCell ref="G8:H8"/>
    <mergeCell ref="I8:K8"/>
    <mergeCell ref="B8:B9"/>
    <mergeCell ref="C8:C9"/>
    <mergeCell ref="F8:F9"/>
    <mergeCell ref="J6:K6"/>
  </mergeCells>
  <phoneticPr fontId="29" type="noConversion"/>
  <pageMargins left="0.72" right="0.28000000000000003" top="0.56000000000000005" bottom="0.43" header="0.26" footer="0.2"/>
  <pageSetup paperSize="9" scale="71" fitToHeight="0" orientation="landscape" verticalDpi="0" r:id="rId1"/>
  <headerFooter>
    <oddFooter>&amp;C&amp;12&amp;P/&amp;N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23"/>
  <sheetViews>
    <sheetView showGridLines="0" showZeros="0" topLeftCell="N82" zoomScale="110" zoomScaleNormal="110" zoomScaleSheetLayoutView="118" workbookViewId="0">
      <pane xSplit="20955" ySplit="3645" topLeftCell="N11"/>
      <selection activeCell="A5" sqref="A5:Y113"/>
      <selection pane="topRight" activeCell="N109" sqref="N109"/>
      <selection pane="bottomLeft" activeCell="A11" sqref="A11"/>
      <selection pane="bottomRight" activeCell="C11" sqref="C11"/>
    </sheetView>
  </sheetViews>
  <sheetFormatPr defaultRowHeight="15"/>
  <cols>
    <col min="1" max="1" width="5.7109375" style="101" customWidth="1"/>
    <col min="2" max="2" width="45" style="101" customWidth="1"/>
    <col min="3" max="13" width="12.7109375" style="101" customWidth="1"/>
    <col min="14" max="18" width="13.7109375" style="101" customWidth="1"/>
    <col min="19" max="19" width="9.7109375" style="101" customWidth="1"/>
    <col min="20" max="20" width="11" style="101" customWidth="1"/>
    <col min="21" max="21" width="12.28515625" style="101" customWidth="1"/>
    <col min="22" max="22" width="9.42578125" style="101" customWidth="1"/>
    <col min="23" max="24" width="9" style="101" customWidth="1"/>
    <col min="25" max="25" width="12" style="101" customWidth="1"/>
    <col min="26" max="16384" width="9.140625" style="101"/>
  </cols>
  <sheetData>
    <row r="1" spans="1:25">
      <c r="A1" s="104" t="s">
        <v>56</v>
      </c>
      <c r="B1" s="105"/>
      <c r="C1" s="105"/>
      <c r="D1" s="105"/>
      <c r="E1" s="105"/>
      <c r="F1" s="105"/>
      <c r="G1" s="105"/>
      <c r="H1" s="105"/>
      <c r="I1" s="105"/>
      <c r="J1" s="105"/>
      <c r="K1" s="105"/>
      <c r="L1" s="105"/>
      <c r="M1" s="105"/>
      <c r="N1" s="105"/>
      <c r="O1" s="105"/>
      <c r="P1" s="105"/>
      <c r="Q1" s="105"/>
      <c r="R1" s="105"/>
      <c r="S1" s="105"/>
      <c r="T1" s="105"/>
      <c r="U1" s="105"/>
      <c r="V1" s="105"/>
      <c r="W1" s="105"/>
      <c r="X1" s="105"/>
      <c r="Y1" s="105"/>
    </row>
    <row r="2" spans="1:25" ht="18.75">
      <c r="B2" s="131"/>
      <c r="C2" s="131" t="s">
        <v>527</v>
      </c>
      <c r="D2" s="131"/>
      <c r="E2" s="131"/>
      <c r="F2" s="131"/>
      <c r="G2" s="131"/>
      <c r="H2" s="131"/>
      <c r="I2" s="131"/>
      <c r="J2" s="131"/>
      <c r="K2" s="131"/>
      <c r="L2" s="131"/>
      <c r="M2" s="131"/>
      <c r="N2" s="130"/>
      <c r="O2" s="131"/>
      <c r="P2" s="131"/>
      <c r="Q2" s="131"/>
      <c r="R2" s="131"/>
      <c r="S2" s="131"/>
      <c r="T2" s="131"/>
      <c r="U2" s="131"/>
      <c r="V2" s="131"/>
      <c r="W2" s="131"/>
      <c r="X2" s="131"/>
      <c r="Y2" s="131"/>
    </row>
    <row r="3" spans="1:25" ht="18.75">
      <c r="B3" s="106"/>
      <c r="C3" s="174" t="s">
        <v>515</v>
      </c>
      <c r="D3" s="174"/>
      <c r="E3" s="174"/>
      <c r="F3" s="174"/>
      <c r="G3" s="174"/>
      <c r="H3" s="174"/>
      <c r="I3" s="174"/>
      <c r="J3" s="174"/>
      <c r="K3" s="174"/>
      <c r="L3" s="174"/>
      <c r="M3" s="174"/>
      <c r="N3" s="107"/>
      <c r="O3" s="106"/>
      <c r="P3" s="106"/>
      <c r="Q3" s="106"/>
      <c r="R3" s="106"/>
      <c r="S3" s="106"/>
      <c r="T3" s="106"/>
      <c r="U3" s="106"/>
      <c r="V3" s="106"/>
      <c r="W3" s="106"/>
      <c r="X3" s="106"/>
      <c r="Y3" s="106"/>
    </row>
    <row r="4" spans="1:25" ht="15.75">
      <c r="B4" s="108"/>
      <c r="C4" s="108"/>
      <c r="D4" s="108"/>
      <c r="E4" s="108"/>
      <c r="F4" s="108"/>
      <c r="G4" s="108"/>
      <c r="H4" s="108"/>
      <c r="I4" s="108"/>
      <c r="J4" s="108"/>
      <c r="K4" s="108"/>
      <c r="L4" s="108"/>
      <c r="M4" s="108"/>
      <c r="N4" s="108"/>
      <c r="O4" s="108"/>
      <c r="P4" s="108"/>
      <c r="Q4" s="108"/>
      <c r="R4" s="108"/>
      <c r="S4" s="108"/>
      <c r="T4" s="108"/>
      <c r="U4" s="108"/>
      <c r="V4" s="108"/>
      <c r="W4" s="108"/>
      <c r="X4" s="266" t="s">
        <v>429</v>
      </c>
      <c r="Y4" s="266"/>
    </row>
    <row r="5" spans="1:25" ht="22.5" customHeight="1">
      <c r="A5" s="267" t="s">
        <v>1</v>
      </c>
      <c r="B5" s="267" t="s">
        <v>57</v>
      </c>
      <c r="C5" s="267" t="s">
        <v>548</v>
      </c>
      <c r="D5" s="267"/>
      <c r="E5" s="267"/>
      <c r="F5" s="267"/>
      <c r="G5" s="267"/>
      <c r="H5" s="267"/>
      <c r="I5" s="267"/>
      <c r="J5" s="267"/>
      <c r="K5" s="267" t="s">
        <v>526</v>
      </c>
      <c r="L5" s="267"/>
      <c r="M5" s="267"/>
      <c r="N5" s="267" t="s">
        <v>526</v>
      </c>
      <c r="O5" s="267"/>
      <c r="P5" s="267"/>
      <c r="Q5" s="267"/>
      <c r="R5" s="267"/>
      <c r="S5" s="267" t="s">
        <v>5</v>
      </c>
      <c r="T5" s="267"/>
      <c r="U5" s="267"/>
      <c r="V5" s="267"/>
      <c r="W5" s="267"/>
      <c r="X5" s="267"/>
      <c r="Y5" s="267"/>
    </row>
    <row r="6" spans="1:25" ht="21.75" customHeight="1">
      <c r="A6" s="267"/>
      <c r="B6" s="267"/>
      <c r="C6" s="267" t="s">
        <v>58</v>
      </c>
      <c r="D6" s="267" t="s">
        <v>549</v>
      </c>
      <c r="E6" s="267" t="s">
        <v>550</v>
      </c>
      <c r="F6" s="267" t="s">
        <v>406</v>
      </c>
      <c r="G6" s="267" t="s">
        <v>59</v>
      </c>
      <c r="H6" s="267"/>
      <c r="I6" s="267"/>
      <c r="J6" s="267" t="s">
        <v>385</v>
      </c>
      <c r="K6" s="267" t="s">
        <v>58</v>
      </c>
      <c r="L6" s="267" t="s">
        <v>551</v>
      </c>
      <c r="M6" s="267" t="s">
        <v>552</v>
      </c>
      <c r="N6" s="267" t="s">
        <v>423</v>
      </c>
      <c r="O6" s="267" t="s">
        <v>59</v>
      </c>
      <c r="P6" s="267"/>
      <c r="Q6" s="267"/>
      <c r="R6" s="267" t="s">
        <v>60</v>
      </c>
      <c r="S6" s="267" t="s">
        <v>58</v>
      </c>
      <c r="T6" s="267" t="s">
        <v>551</v>
      </c>
      <c r="U6" s="267" t="s">
        <v>552</v>
      </c>
      <c r="V6" s="267" t="s">
        <v>59</v>
      </c>
      <c r="W6" s="267"/>
      <c r="X6" s="267"/>
      <c r="Y6" s="267" t="s">
        <v>371</v>
      </c>
    </row>
    <row r="7" spans="1:25">
      <c r="A7" s="267"/>
      <c r="B7" s="267"/>
      <c r="C7" s="267"/>
      <c r="D7" s="267"/>
      <c r="E7" s="267"/>
      <c r="F7" s="267"/>
      <c r="G7" s="267" t="s">
        <v>58</v>
      </c>
      <c r="H7" s="267" t="s">
        <v>9</v>
      </c>
      <c r="I7" s="267" t="s">
        <v>17</v>
      </c>
      <c r="J7" s="267"/>
      <c r="K7" s="267"/>
      <c r="L7" s="267"/>
      <c r="M7" s="267"/>
      <c r="N7" s="267"/>
      <c r="O7" s="267" t="s">
        <v>58</v>
      </c>
      <c r="P7" s="267" t="s">
        <v>9</v>
      </c>
      <c r="Q7" s="267" t="s">
        <v>17</v>
      </c>
      <c r="R7" s="267"/>
      <c r="S7" s="267"/>
      <c r="T7" s="267"/>
      <c r="U7" s="267"/>
      <c r="V7" s="267" t="s">
        <v>58</v>
      </c>
      <c r="W7" s="267" t="s">
        <v>9</v>
      </c>
      <c r="X7" s="267" t="s">
        <v>17</v>
      </c>
      <c r="Y7" s="267"/>
    </row>
    <row r="8" spans="1:25" ht="51.75" customHeight="1">
      <c r="A8" s="267"/>
      <c r="B8" s="267"/>
      <c r="C8" s="267"/>
      <c r="D8" s="267"/>
      <c r="E8" s="267"/>
      <c r="F8" s="267"/>
      <c r="G8" s="267"/>
      <c r="H8" s="267"/>
      <c r="I8" s="267"/>
      <c r="J8" s="267"/>
      <c r="K8" s="267"/>
      <c r="L8" s="267"/>
      <c r="M8" s="267"/>
      <c r="N8" s="267"/>
      <c r="O8" s="267"/>
      <c r="P8" s="267"/>
      <c r="Q8" s="267"/>
      <c r="R8" s="267"/>
      <c r="S8" s="267"/>
      <c r="T8" s="267"/>
      <c r="U8" s="267"/>
      <c r="V8" s="267"/>
      <c r="W8" s="267"/>
      <c r="X8" s="267"/>
      <c r="Y8" s="267"/>
    </row>
    <row r="9" spans="1:25">
      <c r="A9" s="268" t="s">
        <v>6</v>
      </c>
      <c r="B9" s="268" t="s">
        <v>23</v>
      </c>
      <c r="C9" s="268" t="s">
        <v>10</v>
      </c>
      <c r="D9" s="268" t="s">
        <v>18</v>
      </c>
      <c r="E9" s="268" t="s">
        <v>27</v>
      </c>
      <c r="F9" s="268" t="s">
        <v>28</v>
      </c>
      <c r="G9" s="268" t="s">
        <v>29</v>
      </c>
      <c r="H9" s="268" t="s">
        <v>30</v>
      </c>
      <c r="I9" s="268" t="s">
        <v>31</v>
      </c>
      <c r="J9" s="268" t="s">
        <v>32</v>
      </c>
      <c r="K9" s="268" t="s">
        <v>33</v>
      </c>
      <c r="L9" s="268" t="s">
        <v>34</v>
      </c>
      <c r="M9" s="268" t="s">
        <v>35</v>
      </c>
      <c r="N9" s="268" t="s">
        <v>36</v>
      </c>
      <c r="O9" s="268" t="s">
        <v>37</v>
      </c>
      <c r="P9" s="268" t="s">
        <v>38</v>
      </c>
      <c r="Q9" s="268" t="s">
        <v>39</v>
      </c>
      <c r="R9" s="268" t="s">
        <v>40</v>
      </c>
      <c r="S9" s="268" t="s">
        <v>61</v>
      </c>
      <c r="T9" s="268" t="s">
        <v>62</v>
      </c>
      <c r="U9" s="268" t="s">
        <v>63</v>
      </c>
      <c r="V9" s="268" t="s">
        <v>64</v>
      </c>
      <c r="W9" s="268" t="s">
        <v>65</v>
      </c>
      <c r="X9" s="268" t="s">
        <v>66</v>
      </c>
      <c r="Y9" s="268" t="s">
        <v>67</v>
      </c>
    </row>
    <row r="10" spans="1:25" s="102" customFormat="1" ht="25.5" customHeight="1">
      <c r="A10" s="269"/>
      <c r="B10" s="268" t="s">
        <v>100</v>
      </c>
      <c r="C10" s="270">
        <f>C11+C109+C110+C111+C112</f>
        <v>673855.75076600001</v>
      </c>
      <c r="D10" s="270">
        <f t="shared" ref="D10:J10" si="0">D11+D109+D110+D111+D112</f>
        <v>21110.381853000003</v>
      </c>
      <c r="E10" s="270">
        <f t="shared" si="0"/>
        <v>340222.67005499994</v>
      </c>
      <c r="F10" s="270">
        <f t="shared" si="0"/>
        <v>120621.00000000001</v>
      </c>
      <c r="G10" s="270">
        <f t="shared" si="0"/>
        <v>81654</v>
      </c>
      <c r="H10" s="270">
        <f t="shared" si="0"/>
        <v>66185</v>
      </c>
      <c r="I10" s="270">
        <f t="shared" si="0"/>
        <v>15469</v>
      </c>
      <c r="J10" s="270">
        <f t="shared" si="0"/>
        <v>110247.69885799999</v>
      </c>
      <c r="K10" s="270">
        <f t="shared" ref="K10:R10" si="1">K11+K109+K110+K111+K112+K113</f>
        <v>672673.05782700004</v>
      </c>
      <c r="L10" s="270">
        <f t="shared" si="1"/>
        <v>27426.533350000002</v>
      </c>
      <c r="M10" s="270">
        <f t="shared" si="1"/>
        <v>324982.9332680002</v>
      </c>
      <c r="N10" s="270">
        <f t="shared" si="1"/>
        <v>145209.975473</v>
      </c>
      <c r="O10" s="270">
        <f t="shared" si="1"/>
        <v>102963.35976199999</v>
      </c>
      <c r="P10" s="270">
        <f t="shared" si="1"/>
        <v>96714.537343000004</v>
      </c>
      <c r="Q10" s="270">
        <f t="shared" si="1"/>
        <v>6248.8224190000001</v>
      </c>
      <c r="R10" s="270">
        <f t="shared" si="1"/>
        <v>72090.255974000029</v>
      </c>
      <c r="S10" s="271">
        <f t="shared" ref="S10:U11" si="2">K10/C10</f>
        <v>0.9982448870731524</v>
      </c>
      <c r="T10" s="271">
        <f t="shared" si="2"/>
        <v>1.2991964589263179</v>
      </c>
      <c r="U10" s="271">
        <f t="shared" si="2"/>
        <v>0.95520658048878371</v>
      </c>
      <c r="V10" s="271">
        <f t="shared" ref="V10:Y11" si="3">O10/G10</f>
        <v>1.2609714130599847</v>
      </c>
      <c r="W10" s="271">
        <f t="shared" si="3"/>
        <v>1.4612757776384377</v>
      </c>
      <c r="X10" s="271">
        <f t="shared" si="3"/>
        <v>0.40395774898183462</v>
      </c>
      <c r="Y10" s="271">
        <f t="shared" si="3"/>
        <v>0.65389352086933727</v>
      </c>
    </row>
    <row r="11" spans="1:25" s="102" customFormat="1" ht="15.95" customHeight="1">
      <c r="A11" s="268" t="s">
        <v>8</v>
      </c>
      <c r="B11" s="272" t="s">
        <v>72</v>
      </c>
      <c r="C11" s="270">
        <f t="shared" ref="C11:R11" si="4">SUM(C12:C108)</f>
        <v>511122.27337400004</v>
      </c>
      <c r="D11" s="270">
        <f t="shared" si="4"/>
        <v>21110.381853000003</v>
      </c>
      <c r="E11" s="270">
        <f t="shared" si="4"/>
        <v>340222.67005499994</v>
      </c>
      <c r="F11" s="270">
        <f t="shared" si="4"/>
        <v>0</v>
      </c>
      <c r="G11" s="270">
        <f t="shared" si="4"/>
        <v>81654</v>
      </c>
      <c r="H11" s="270">
        <f t="shared" si="4"/>
        <v>66185</v>
      </c>
      <c r="I11" s="270">
        <f t="shared" si="4"/>
        <v>15469</v>
      </c>
      <c r="J11" s="270">
        <f t="shared" si="4"/>
        <v>68135.221465999988</v>
      </c>
      <c r="K11" s="270">
        <f t="shared" si="4"/>
        <v>500426.36726700008</v>
      </c>
      <c r="L11" s="270">
        <f t="shared" si="4"/>
        <v>27426.533350000002</v>
      </c>
      <c r="M11" s="270">
        <f t="shared" si="4"/>
        <v>324982.9332680002</v>
      </c>
      <c r="N11" s="270">
        <f t="shared" si="4"/>
        <v>0</v>
      </c>
      <c r="O11" s="270">
        <f t="shared" si="4"/>
        <v>102963.35976199999</v>
      </c>
      <c r="P11" s="270">
        <f t="shared" si="4"/>
        <v>96714.537343000004</v>
      </c>
      <c r="Q11" s="270">
        <f t="shared" si="4"/>
        <v>6248.8224190000001</v>
      </c>
      <c r="R11" s="270">
        <f t="shared" si="4"/>
        <v>45053.540887000025</v>
      </c>
      <c r="S11" s="271">
        <f t="shared" si="2"/>
        <v>0.97907368419616192</v>
      </c>
      <c r="T11" s="271">
        <f t="shared" si="2"/>
        <v>1.2991964589263179</v>
      </c>
      <c r="U11" s="271">
        <f t="shared" si="2"/>
        <v>0.95520658048878371</v>
      </c>
      <c r="V11" s="271">
        <f t="shared" si="3"/>
        <v>1.2609714130599847</v>
      </c>
      <c r="W11" s="271">
        <f t="shared" si="3"/>
        <v>1.4612757776384377</v>
      </c>
      <c r="X11" s="271">
        <f t="shared" si="3"/>
        <v>0.40395774898183462</v>
      </c>
      <c r="Y11" s="271">
        <f t="shared" si="3"/>
        <v>0.66123716805532207</v>
      </c>
    </row>
    <row r="12" spans="1:25" ht="15.95" customHeight="1">
      <c r="A12" s="273" t="s">
        <v>10</v>
      </c>
      <c r="B12" s="274" t="s">
        <v>384</v>
      </c>
      <c r="C12" s="275">
        <f>D12+E12+F12+G12+J12</f>
        <v>7749.1896619999998</v>
      </c>
      <c r="D12" s="275"/>
      <c r="E12" s="275">
        <v>7749.1895199999999</v>
      </c>
      <c r="F12" s="275"/>
      <c r="G12" s="275">
        <f t="shared" ref="G12:G75" si="5">SUM(H12:I12)</f>
        <v>0</v>
      </c>
      <c r="H12" s="275"/>
      <c r="I12" s="275"/>
      <c r="J12" s="275">
        <v>1.4200000000000001E-4</v>
      </c>
      <c r="K12" s="275">
        <f>L12+M12+O12+R12</f>
        <v>7640.5806830000001</v>
      </c>
      <c r="L12" s="275"/>
      <c r="M12" s="275">
        <v>7640.5806830000001</v>
      </c>
      <c r="N12" s="275"/>
      <c r="O12" s="275">
        <f>P12+Q12</f>
        <v>0</v>
      </c>
      <c r="P12" s="275"/>
      <c r="Q12" s="275"/>
      <c r="R12" s="275"/>
      <c r="S12" s="276">
        <f t="shared" ref="S12:S43" si="6">K12/C12</f>
        <v>0.98598447273363432</v>
      </c>
      <c r="T12" s="276"/>
      <c r="U12" s="276">
        <f t="shared" ref="U12:U43" si="7">M12/E12</f>
        <v>0.9859844908013039</v>
      </c>
      <c r="V12" s="276"/>
      <c r="W12" s="276"/>
      <c r="X12" s="276"/>
      <c r="Y12" s="276">
        <f>R12/J12</f>
        <v>0</v>
      </c>
    </row>
    <row r="13" spans="1:25" ht="15.95" customHeight="1">
      <c r="A13" s="273" t="s">
        <v>18</v>
      </c>
      <c r="B13" s="274" t="s">
        <v>73</v>
      </c>
      <c r="C13" s="275">
        <f>D13+E13+F13+G13+J13</f>
        <v>11868.601431000001</v>
      </c>
      <c r="D13" s="275"/>
      <c r="E13" s="275">
        <v>4653.3329999999996</v>
      </c>
      <c r="F13" s="275"/>
      <c r="G13" s="275">
        <f t="shared" si="5"/>
        <v>5165.1000000000004</v>
      </c>
      <c r="H13" s="275"/>
      <c r="I13" s="275">
        <v>5165.1000000000004</v>
      </c>
      <c r="J13" s="275">
        <v>2050.1684310000001</v>
      </c>
      <c r="K13" s="275">
        <f>L13+M13+O13+R13</f>
        <v>10962.740231</v>
      </c>
      <c r="L13" s="275"/>
      <c r="M13" s="275">
        <v>4150.4689319999998</v>
      </c>
      <c r="N13" s="275"/>
      <c r="O13" s="275">
        <f t="shared" ref="O13:O71" si="8">P13+Q13</f>
        <v>970.39499999999998</v>
      </c>
      <c r="P13" s="275"/>
      <c r="Q13" s="275">
        <v>970.39499999999998</v>
      </c>
      <c r="R13" s="275">
        <v>5841.8762989999996</v>
      </c>
      <c r="S13" s="276">
        <f t="shared" si="6"/>
        <v>0.92367582606372212</v>
      </c>
      <c r="T13" s="276"/>
      <c r="U13" s="276">
        <f t="shared" si="7"/>
        <v>0.8919346481328545</v>
      </c>
      <c r="V13" s="276">
        <f>O13/G13</f>
        <v>0.18787535575303477</v>
      </c>
      <c r="W13" s="276"/>
      <c r="X13" s="276">
        <f>Q13/I13</f>
        <v>0.18787535575303477</v>
      </c>
      <c r="Y13" s="276">
        <f>R13/J13</f>
        <v>2.8494616396714965</v>
      </c>
    </row>
    <row r="14" spans="1:25" ht="15.95" customHeight="1">
      <c r="A14" s="273" t="s">
        <v>27</v>
      </c>
      <c r="B14" s="274" t="s">
        <v>251</v>
      </c>
      <c r="C14" s="275">
        <f t="shared" ref="C14:C76" si="9">D14+E14+F14+G14+J14</f>
        <v>92788.666498999999</v>
      </c>
      <c r="D14" s="275">
        <f>24226.676-3164.396</f>
        <v>21062.28</v>
      </c>
      <c r="E14" s="275">
        <v>12394.016</v>
      </c>
      <c r="F14" s="275"/>
      <c r="G14" s="275">
        <f t="shared" si="5"/>
        <v>32880</v>
      </c>
      <c r="H14" s="275">
        <f>32880</f>
        <v>32880</v>
      </c>
      <c r="I14" s="275"/>
      <c r="J14" s="275">
        <v>26452.370499000001</v>
      </c>
      <c r="K14" s="275">
        <f t="shared" ref="K14:K57" si="10">L14+M14+O14+R14</f>
        <v>93927.215585999991</v>
      </c>
      <c r="L14" s="275">
        <v>26400.789538000001</v>
      </c>
      <c r="M14" s="275">
        <v>8591.152</v>
      </c>
      <c r="N14" s="275"/>
      <c r="O14" s="275">
        <f t="shared" si="8"/>
        <v>46996.836424000001</v>
      </c>
      <c r="P14" s="275">
        <v>46849.836424000001</v>
      </c>
      <c r="Q14" s="275">
        <v>147</v>
      </c>
      <c r="R14" s="275">
        <f>10629.543624+1308.894</f>
        <v>11938.437624</v>
      </c>
      <c r="S14" s="276">
        <f t="shared" si="6"/>
        <v>1.0122703464761211</v>
      </c>
      <c r="T14" s="276">
        <f>L14/D14</f>
        <v>1.2534630409433358</v>
      </c>
      <c r="U14" s="276">
        <f t="shared" si="7"/>
        <v>0.6931693488212376</v>
      </c>
      <c r="V14" s="276">
        <f>O14/G14</f>
        <v>1.4293441734793189</v>
      </c>
      <c r="W14" s="276"/>
      <c r="X14" s="276"/>
      <c r="Y14" s="276">
        <f>R14/J14</f>
        <v>0.45131825234533585</v>
      </c>
    </row>
    <row r="15" spans="1:25" ht="15.95" customHeight="1">
      <c r="A15" s="273" t="s">
        <v>28</v>
      </c>
      <c r="B15" s="274" t="s">
        <v>77</v>
      </c>
      <c r="C15" s="275">
        <f t="shared" si="9"/>
        <v>27329.788</v>
      </c>
      <c r="D15" s="275"/>
      <c r="E15" s="275">
        <f>26926.788-420</f>
        <v>26506.788</v>
      </c>
      <c r="F15" s="275"/>
      <c r="G15" s="275">
        <f t="shared" si="5"/>
        <v>297</v>
      </c>
      <c r="H15" s="275"/>
      <c r="I15" s="275">
        <v>297</v>
      </c>
      <c r="J15" s="275">
        <v>526</v>
      </c>
      <c r="K15" s="275">
        <f t="shared" si="10"/>
        <v>24064.275628000003</v>
      </c>
      <c r="L15" s="275"/>
      <c r="M15" s="275">
        <v>23631.141906000001</v>
      </c>
      <c r="N15" s="275"/>
      <c r="O15" s="275">
        <f t="shared" si="8"/>
        <v>21.499099999999999</v>
      </c>
      <c r="P15" s="275"/>
      <c r="Q15" s="275">
        <v>21.499099999999999</v>
      </c>
      <c r="R15" s="275">
        <v>411.63462199999998</v>
      </c>
      <c r="S15" s="276">
        <f t="shared" si="6"/>
        <v>0.88051453703190097</v>
      </c>
      <c r="T15" s="276"/>
      <c r="U15" s="276">
        <f t="shared" si="7"/>
        <v>0.89151284214443483</v>
      </c>
      <c r="V15" s="276">
        <f>O15/G15</f>
        <v>7.2387542087542084E-2</v>
      </c>
      <c r="W15" s="276"/>
      <c r="X15" s="276">
        <f>Q15/I15</f>
        <v>7.2387542087542084E-2</v>
      </c>
      <c r="Y15" s="276">
        <f>R15/J15</f>
        <v>0.7825753269961977</v>
      </c>
    </row>
    <row r="16" spans="1:25" ht="15.95" customHeight="1">
      <c r="A16" s="273" t="s">
        <v>29</v>
      </c>
      <c r="B16" s="274" t="s">
        <v>74</v>
      </c>
      <c r="C16" s="275">
        <f t="shared" si="9"/>
        <v>871.76062400000001</v>
      </c>
      <c r="D16" s="275"/>
      <c r="E16" s="275">
        <v>863.07100000000003</v>
      </c>
      <c r="F16" s="275"/>
      <c r="G16" s="275">
        <f t="shared" si="5"/>
        <v>0</v>
      </c>
      <c r="H16" s="275"/>
      <c r="I16" s="275"/>
      <c r="J16" s="275">
        <v>8.6896240000000002</v>
      </c>
      <c r="K16" s="275">
        <f t="shared" si="10"/>
        <v>838.99062400000003</v>
      </c>
      <c r="L16" s="275"/>
      <c r="M16" s="275">
        <v>830.52985699999999</v>
      </c>
      <c r="N16" s="275"/>
      <c r="O16" s="275">
        <f t="shared" si="8"/>
        <v>0</v>
      </c>
      <c r="P16" s="275"/>
      <c r="Q16" s="275"/>
      <c r="R16" s="275">
        <v>8.4607670000000006</v>
      </c>
      <c r="S16" s="276">
        <f t="shared" si="6"/>
        <v>0.96240940563518729</v>
      </c>
      <c r="T16" s="276"/>
      <c r="U16" s="276">
        <f t="shared" si="7"/>
        <v>0.96229609962563911</v>
      </c>
      <c r="V16" s="276"/>
      <c r="W16" s="276"/>
      <c r="X16" s="276"/>
      <c r="Y16" s="276">
        <f>R16/J16</f>
        <v>0.97366318726794165</v>
      </c>
    </row>
    <row r="17" spans="1:25" ht="15.95" customHeight="1">
      <c r="A17" s="273" t="s">
        <v>30</v>
      </c>
      <c r="B17" s="274" t="s">
        <v>75</v>
      </c>
      <c r="C17" s="275">
        <f t="shared" si="9"/>
        <v>1824.5740000000001</v>
      </c>
      <c r="D17" s="275"/>
      <c r="E17" s="275">
        <v>1824.5740000000001</v>
      </c>
      <c r="F17" s="275"/>
      <c r="G17" s="275">
        <f t="shared" si="5"/>
        <v>0</v>
      </c>
      <c r="H17" s="275"/>
      <c r="I17" s="275"/>
      <c r="J17" s="275">
        <v>0</v>
      </c>
      <c r="K17" s="275">
        <f t="shared" si="10"/>
        <v>1820.0975209999999</v>
      </c>
      <c r="L17" s="275"/>
      <c r="M17" s="275">
        <v>1820.0975209999999</v>
      </c>
      <c r="N17" s="275"/>
      <c r="O17" s="275">
        <f t="shared" si="8"/>
        <v>0</v>
      </c>
      <c r="P17" s="275"/>
      <c r="Q17" s="275"/>
      <c r="R17" s="275"/>
      <c r="S17" s="276">
        <f t="shared" si="6"/>
        <v>0.99754656210161929</v>
      </c>
      <c r="T17" s="276"/>
      <c r="U17" s="276">
        <f t="shared" si="7"/>
        <v>0.99754656210161929</v>
      </c>
      <c r="V17" s="276"/>
      <c r="W17" s="276"/>
      <c r="X17" s="276"/>
      <c r="Y17" s="276"/>
    </row>
    <row r="18" spans="1:25" ht="15.95" customHeight="1">
      <c r="A18" s="273" t="s">
        <v>31</v>
      </c>
      <c r="B18" s="274" t="s">
        <v>76</v>
      </c>
      <c r="C18" s="275">
        <f t="shared" si="9"/>
        <v>7538.6271020000004</v>
      </c>
      <c r="D18" s="275">
        <v>2.2794590000000001</v>
      </c>
      <c r="E18" s="275">
        <v>7533.2309999999998</v>
      </c>
      <c r="F18" s="275"/>
      <c r="G18" s="275">
        <f t="shared" si="5"/>
        <v>0</v>
      </c>
      <c r="H18" s="275"/>
      <c r="I18" s="275"/>
      <c r="J18" s="275">
        <v>3.1166429999999998</v>
      </c>
      <c r="K18" s="275">
        <f t="shared" si="10"/>
        <v>9201.8872730000003</v>
      </c>
      <c r="L18" s="275"/>
      <c r="M18" s="275">
        <v>7491.3003099999996</v>
      </c>
      <c r="N18" s="275"/>
      <c r="O18" s="275">
        <f t="shared" si="8"/>
        <v>0</v>
      </c>
      <c r="P18" s="275"/>
      <c r="Q18" s="275"/>
      <c r="R18" s="275">
        <f>10.586963+1700</f>
        <v>1710.586963</v>
      </c>
      <c r="S18" s="276">
        <f t="shared" si="6"/>
        <v>1.2206317076697872</v>
      </c>
      <c r="T18" s="276"/>
      <c r="U18" s="276">
        <f t="shared" si="7"/>
        <v>0.9944339035932922</v>
      </c>
      <c r="V18" s="276"/>
      <c r="W18" s="276"/>
      <c r="X18" s="276"/>
      <c r="Y18" s="276">
        <f>R18/J18</f>
        <v>548.85559975909985</v>
      </c>
    </row>
    <row r="19" spans="1:25" ht="15.95" customHeight="1">
      <c r="A19" s="273" t="s">
        <v>32</v>
      </c>
      <c r="B19" s="274" t="s">
        <v>78</v>
      </c>
      <c r="C19" s="275">
        <f t="shared" si="9"/>
        <v>1585.0525970000001</v>
      </c>
      <c r="D19" s="275"/>
      <c r="E19" s="275">
        <v>837.95500000000004</v>
      </c>
      <c r="F19" s="275"/>
      <c r="G19" s="275">
        <f t="shared" si="5"/>
        <v>746.9</v>
      </c>
      <c r="H19" s="275"/>
      <c r="I19" s="275">
        <v>746.9</v>
      </c>
      <c r="J19" s="275">
        <v>0.19759699999999999</v>
      </c>
      <c r="K19" s="275">
        <f t="shared" si="10"/>
        <v>1557.6802050000001</v>
      </c>
      <c r="L19" s="275"/>
      <c r="M19" s="275">
        <v>806.40754500000003</v>
      </c>
      <c r="N19" s="275"/>
      <c r="O19" s="275">
        <f t="shared" si="8"/>
        <v>53.78</v>
      </c>
      <c r="P19" s="275"/>
      <c r="Q19" s="275">
        <v>53.78</v>
      </c>
      <c r="R19" s="275">
        <v>697.49266</v>
      </c>
      <c r="S19" s="276">
        <f t="shared" si="6"/>
        <v>0.98273092511137661</v>
      </c>
      <c r="T19" s="276"/>
      <c r="U19" s="276">
        <f t="shared" si="7"/>
        <v>0.96235185063637063</v>
      </c>
      <c r="V19" s="276">
        <f>O19/G19</f>
        <v>7.2004284375418406E-2</v>
      </c>
      <c r="W19" s="276"/>
      <c r="X19" s="276">
        <f>Q19/I19</f>
        <v>7.2004284375418406E-2</v>
      </c>
      <c r="Y19" s="276">
        <f>R19/J19</f>
        <v>3529.8747450619189</v>
      </c>
    </row>
    <row r="20" spans="1:25" ht="15.95" customHeight="1">
      <c r="A20" s="273" t="s">
        <v>33</v>
      </c>
      <c r="B20" s="274" t="s">
        <v>79</v>
      </c>
      <c r="C20" s="275">
        <f t="shared" si="9"/>
        <v>17137.033951000001</v>
      </c>
      <c r="D20" s="275"/>
      <c r="E20" s="275">
        <v>15712.349</v>
      </c>
      <c r="F20" s="275"/>
      <c r="G20" s="275">
        <f t="shared" si="5"/>
        <v>1199.4000000000001</v>
      </c>
      <c r="H20" s="275"/>
      <c r="I20" s="275">
        <v>1199.4000000000001</v>
      </c>
      <c r="J20" s="275">
        <v>225.28495100000001</v>
      </c>
      <c r="K20" s="275">
        <f t="shared" si="10"/>
        <v>14724.810120999999</v>
      </c>
      <c r="L20" s="275"/>
      <c r="M20" s="275">
        <v>13299.538012999999</v>
      </c>
      <c r="N20" s="275"/>
      <c r="O20" s="275">
        <f t="shared" si="8"/>
        <v>527.09742000000006</v>
      </c>
      <c r="P20" s="275"/>
      <c r="Q20" s="275">
        <v>527.09742000000006</v>
      </c>
      <c r="R20" s="277">
        <v>898.17468799999995</v>
      </c>
      <c r="S20" s="276">
        <f t="shared" si="6"/>
        <v>0.85923912872570096</v>
      </c>
      <c r="T20" s="276"/>
      <c r="U20" s="276">
        <f t="shared" si="7"/>
        <v>0.84643855689559844</v>
      </c>
      <c r="V20" s="276">
        <f>O20/G20</f>
        <v>0.43946758379189599</v>
      </c>
      <c r="W20" s="276"/>
      <c r="X20" s="276">
        <f>Q20/I20</f>
        <v>0.43946758379189599</v>
      </c>
      <c r="Y20" s="276">
        <f>R20/J20</f>
        <v>3.9868383751917809</v>
      </c>
    </row>
    <row r="21" spans="1:25" ht="15.95" customHeight="1">
      <c r="A21" s="273" t="s">
        <v>34</v>
      </c>
      <c r="B21" s="274" t="s">
        <v>80</v>
      </c>
      <c r="C21" s="275">
        <f t="shared" si="9"/>
        <v>3901.2200000000003</v>
      </c>
      <c r="D21" s="275"/>
      <c r="E21" s="275">
        <v>1134.42</v>
      </c>
      <c r="F21" s="275"/>
      <c r="G21" s="275">
        <f t="shared" si="5"/>
        <v>2099.8000000000002</v>
      </c>
      <c r="H21" s="275">
        <v>1128</v>
      </c>
      <c r="I21" s="275">
        <v>971.8</v>
      </c>
      <c r="J21" s="275">
        <v>667</v>
      </c>
      <c r="K21" s="275">
        <f t="shared" si="10"/>
        <v>3893.5005200000001</v>
      </c>
      <c r="L21" s="275"/>
      <c r="M21" s="275">
        <v>1085.376759</v>
      </c>
      <c r="N21" s="275"/>
      <c r="O21" s="275">
        <f t="shared" si="8"/>
        <v>712.84100000000001</v>
      </c>
      <c r="P21" s="275"/>
      <c r="Q21" s="275">
        <v>712.84100000000001</v>
      </c>
      <c r="R21" s="275">
        <v>2095.2827609999999</v>
      </c>
      <c r="S21" s="276">
        <f t="shared" si="6"/>
        <v>0.99802126514269884</v>
      </c>
      <c r="T21" s="276"/>
      <c r="U21" s="276">
        <f t="shared" si="7"/>
        <v>0.95676800391389427</v>
      </c>
      <c r="V21" s="276">
        <f>O21/G21</f>
        <v>0.33948042670730544</v>
      </c>
      <c r="W21" s="276"/>
      <c r="X21" s="276">
        <f>Q21/I21</f>
        <v>0.73352644577073478</v>
      </c>
      <c r="Y21" s="276">
        <f>R21/J21</f>
        <v>3.141353464767616</v>
      </c>
    </row>
    <row r="22" spans="1:25" ht="15.95" customHeight="1">
      <c r="A22" s="273" t="s">
        <v>35</v>
      </c>
      <c r="B22" s="274" t="s">
        <v>81</v>
      </c>
      <c r="C22" s="275">
        <f t="shared" si="9"/>
        <v>2458.2089999999998</v>
      </c>
      <c r="D22" s="275"/>
      <c r="E22" s="275">
        <v>2458.2089999999998</v>
      </c>
      <c r="F22" s="275"/>
      <c r="G22" s="275">
        <f t="shared" si="5"/>
        <v>0</v>
      </c>
      <c r="H22" s="275"/>
      <c r="I22" s="275"/>
      <c r="J22" s="275">
        <v>0</v>
      </c>
      <c r="K22" s="275">
        <f t="shared" si="10"/>
        <v>2303.4645</v>
      </c>
      <c r="L22" s="275"/>
      <c r="M22" s="275">
        <v>2279.2830960000001</v>
      </c>
      <c r="N22" s="275"/>
      <c r="O22" s="275">
        <f t="shared" si="8"/>
        <v>0</v>
      </c>
      <c r="P22" s="275"/>
      <c r="Q22" s="275"/>
      <c r="R22" s="275">
        <v>24.181404000000001</v>
      </c>
      <c r="S22" s="276">
        <f t="shared" si="6"/>
        <v>0.93704990096448271</v>
      </c>
      <c r="T22" s="276"/>
      <c r="U22" s="276">
        <f t="shared" si="7"/>
        <v>0.92721290012362667</v>
      </c>
      <c r="V22" s="276"/>
      <c r="W22" s="276"/>
      <c r="X22" s="276"/>
      <c r="Y22" s="276"/>
    </row>
    <row r="23" spans="1:25" ht="15.95" customHeight="1">
      <c r="A23" s="273" t="s">
        <v>36</v>
      </c>
      <c r="B23" s="274" t="s">
        <v>82</v>
      </c>
      <c r="C23" s="275">
        <f t="shared" si="9"/>
        <v>3117.768114</v>
      </c>
      <c r="D23" s="275"/>
      <c r="E23" s="275">
        <v>3111.511</v>
      </c>
      <c r="F23" s="275"/>
      <c r="G23" s="275">
        <f t="shared" si="5"/>
        <v>0</v>
      </c>
      <c r="H23" s="275"/>
      <c r="I23" s="275"/>
      <c r="J23" s="275">
        <v>6.2571139999999996</v>
      </c>
      <c r="K23" s="275">
        <f t="shared" si="10"/>
        <v>2857.3201140000001</v>
      </c>
      <c r="L23" s="275"/>
      <c r="M23" s="275">
        <v>2854.691472</v>
      </c>
      <c r="N23" s="275"/>
      <c r="O23" s="275">
        <f t="shared" si="8"/>
        <v>0</v>
      </c>
      <c r="P23" s="275"/>
      <c r="Q23" s="275"/>
      <c r="R23" s="275">
        <v>2.6286420000000001</v>
      </c>
      <c r="S23" s="276">
        <f t="shared" si="6"/>
        <v>0.91646331911905621</v>
      </c>
      <c r="T23" s="276"/>
      <c r="U23" s="276">
        <f t="shared" si="7"/>
        <v>0.91746147514824794</v>
      </c>
      <c r="V23" s="276"/>
      <c r="W23" s="276"/>
      <c r="X23" s="276"/>
      <c r="Y23" s="276">
        <f>R23/J23</f>
        <v>0.42010454020815352</v>
      </c>
    </row>
    <row r="24" spans="1:25" ht="15.95" customHeight="1">
      <c r="A24" s="273" t="s">
        <v>37</v>
      </c>
      <c r="B24" s="274" t="s">
        <v>83</v>
      </c>
      <c r="C24" s="275">
        <f t="shared" si="9"/>
        <v>1121.2119870000001</v>
      </c>
      <c r="D24" s="275"/>
      <c r="E24" s="275">
        <v>1116.2650000000001</v>
      </c>
      <c r="F24" s="275"/>
      <c r="G24" s="275">
        <f t="shared" si="5"/>
        <v>0</v>
      </c>
      <c r="H24" s="275"/>
      <c r="I24" s="275"/>
      <c r="J24" s="275">
        <v>4.946987</v>
      </c>
      <c r="K24" s="275">
        <f t="shared" si="10"/>
        <v>1120.834987</v>
      </c>
      <c r="L24" s="275"/>
      <c r="M24" s="275">
        <v>1115.073652</v>
      </c>
      <c r="N24" s="275"/>
      <c r="O24" s="275">
        <f t="shared" si="8"/>
        <v>0</v>
      </c>
      <c r="P24" s="275"/>
      <c r="Q24" s="275"/>
      <c r="R24" s="275">
        <v>5.7613349999999999</v>
      </c>
      <c r="S24" s="276">
        <f t="shared" si="6"/>
        <v>0.99966375671650731</v>
      </c>
      <c r="T24" s="276"/>
      <c r="U24" s="276">
        <f t="shared" si="7"/>
        <v>0.99893273729804299</v>
      </c>
      <c r="V24" s="276"/>
      <c r="W24" s="276"/>
      <c r="X24" s="276"/>
      <c r="Y24" s="276">
        <f>R24/J24</f>
        <v>1.1646149464310296</v>
      </c>
    </row>
    <row r="25" spans="1:25" ht="15.95" customHeight="1">
      <c r="A25" s="273" t="s">
        <v>38</v>
      </c>
      <c r="B25" s="274" t="s">
        <v>367</v>
      </c>
      <c r="C25" s="275">
        <f t="shared" si="9"/>
        <v>36</v>
      </c>
      <c r="D25" s="275"/>
      <c r="E25" s="275">
        <v>36</v>
      </c>
      <c r="F25" s="275"/>
      <c r="G25" s="275">
        <f t="shared" si="5"/>
        <v>0</v>
      </c>
      <c r="H25" s="275"/>
      <c r="I25" s="275"/>
      <c r="J25" s="275">
        <v>0</v>
      </c>
      <c r="K25" s="275">
        <f t="shared" si="10"/>
        <v>36</v>
      </c>
      <c r="L25" s="275"/>
      <c r="M25" s="275">
        <v>36</v>
      </c>
      <c r="N25" s="275"/>
      <c r="O25" s="275">
        <f t="shared" si="8"/>
        <v>0</v>
      </c>
      <c r="P25" s="275"/>
      <c r="Q25" s="275"/>
      <c r="R25" s="275"/>
      <c r="S25" s="276">
        <f t="shared" si="6"/>
        <v>1</v>
      </c>
      <c r="T25" s="276"/>
      <c r="U25" s="276">
        <f t="shared" si="7"/>
        <v>1</v>
      </c>
      <c r="V25" s="276"/>
      <c r="W25" s="276"/>
      <c r="X25" s="276"/>
      <c r="Y25" s="276"/>
    </row>
    <row r="26" spans="1:25" ht="15.95" customHeight="1">
      <c r="A26" s="273" t="s">
        <v>39</v>
      </c>
      <c r="B26" s="274" t="s">
        <v>84</v>
      </c>
      <c r="C26" s="275">
        <f t="shared" si="9"/>
        <v>12539.556</v>
      </c>
      <c r="D26" s="275"/>
      <c r="E26" s="275">
        <v>847.75400000000002</v>
      </c>
      <c r="F26" s="275"/>
      <c r="G26" s="275">
        <f t="shared" si="5"/>
        <v>5986</v>
      </c>
      <c r="H26" s="275">
        <v>3400</v>
      </c>
      <c r="I26" s="275">
        <v>2586</v>
      </c>
      <c r="J26" s="275">
        <v>5705.8019999999997</v>
      </c>
      <c r="K26" s="275">
        <f t="shared" si="10"/>
        <v>11782.085999999999</v>
      </c>
      <c r="L26" s="275"/>
      <c r="M26" s="275">
        <v>728.28320399999996</v>
      </c>
      <c r="N26" s="275"/>
      <c r="O26" s="275">
        <f t="shared" si="8"/>
        <v>7941.0500190000002</v>
      </c>
      <c r="P26" s="275">
        <v>6543.4830000000002</v>
      </c>
      <c r="Q26" s="275">
        <v>1397.5670190000001</v>
      </c>
      <c r="R26" s="275">
        <v>3112.7527770000002</v>
      </c>
      <c r="S26" s="276">
        <f t="shared" si="6"/>
        <v>0.93959355498711428</v>
      </c>
      <c r="T26" s="276"/>
      <c r="U26" s="276">
        <f t="shared" si="7"/>
        <v>0.85907374544974124</v>
      </c>
      <c r="V26" s="276">
        <f>O26/G26</f>
        <v>1.3266037452388908</v>
      </c>
      <c r="W26" s="276"/>
      <c r="X26" s="276">
        <f>Q26/I26</f>
        <v>0.54043581554524367</v>
      </c>
      <c r="Y26" s="276">
        <f>R26/J26</f>
        <v>0.54554167442193058</v>
      </c>
    </row>
    <row r="27" spans="1:25" ht="15.95" customHeight="1">
      <c r="A27" s="273" t="s">
        <v>40</v>
      </c>
      <c r="B27" s="274" t="s">
        <v>85</v>
      </c>
      <c r="C27" s="275">
        <f t="shared" si="9"/>
        <v>12487.373</v>
      </c>
      <c r="D27" s="275"/>
      <c r="E27" s="275">
        <v>11186.213</v>
      </c>
      <c r="F27" s="275"/>
      <c r="G27" s="275">
        <f t="shared" si="5"/>
        <v>0</v>
      </c>
      <c r="H27" s="275"/>
      <c r="I27" s="275"/>
      <c r="J27" s="275">
        <v>1301.1600000000001</v>
      </c>
      <c r="K27" s="275">
        <f t="shared" si="10"/>
        <v>11186.213</v>
      </c>
      <c r="L27" s="275"/>
      <c r="M27" s="275">
        <v>11186.213</v>
      </c>
      <c r="N27" s="275"/>
      <c r="O27" s="275">
        <f t="shared" si="8"/>
        <v>0</v>
      </c>
      <c r="P27" s="275"/>
      <c r="Q27" s="275"/>
      <c r="R27" s="275"/>
      <c r="S27" s="276">
        <f t="shared" si="6"/>
        <v>0.89580194329103491</v>
      </c>
      <c r="T27" s="276"/>
      <c r="U27" s="276">
        <f t="shared" si="7"/>
        <v>1</v>
      </c>
      <c r="V27" s="276"/>
      <c r="W27" s="276"/>
      <c r="X27" s="276"/>
      <c r="Y27" s="276">
        <f>R27/J27</f>
        <v>0</v>
      </c>
    </row>
    <row r="28" spans="1:25" ht="15.95" customHeight="1">
      <c r="A28" s="273" t="s">
        <v>61</v>
      </c>
      <c r="B28" s="274" t="s">
        <v>86</v>
      </c>
      <c r="C28" s="275">
        <f t="shared" si="9"/>
        <v>3357.3380000000002</v>
      </c>
      <c r="D28" s="275"/>
      <c r="E28" s="275">
        <v>3271.3380000000002</v>
      </c>
      <c r="F28" s="275"/>
      <c r="G28" s="275">
        <f t="shared" si="5"/>
        <v>86</v>
      </c>
      <c r="H28" s="275"/>
      <c r="I28" s="275">
        <v>86</v>
      </c>
      <c r="J28" s="275">
        <v>0</v>
      </c>
      <c r="K28" s="275">
        <f t="shared" si="10"/>
        <v>3341.9395039999999</v>
      </c>
      <c r="L28" s="275"/>
      <c r="M28" s="275">
        <v>3255.6689919999999</v>
      </c>
      <c r="N28" s="275"/>
      <c r="O28" s="275">
        <f t="shared" si="8"/>
        <v>86</v>
      </c>
      <c r="P28" s="275"/>
      <c r="Q28" s="275">
        <v>86</v>
      </c>
      <c r="R28" s="275">
        <v>0.27051199999999997</v>
      </c>
      <c r="S28" s="276">
        <f t="shared" si="6"/>
        <v>0.99541348056108736</v>
      </c>
      <c r="T28" s="276"/>
      <c r="U28" s="276">
        <f t="shared" si="7"/>
        <v>0.99521021429152223</v>
      </c>
      <c r="V28" s="276">
        <f>O28/G28</f>
        <v>1</v>
      </c>
      <c r="W28" s="276"/>
      <c r="X28" s="276">
        <f>Q28/I28</f>
        <v>1</v>
      </c>
      <c r="Y28" s="276" t="e">
        <f>R28/J28</f>
        <v>#DIV/0!</v>
      </c>
    </row>
    <row r="29" spans="1:25" ht="15.95" customHeight="1">
      <c r="A29" s="273" t="s">
        <v>62</v>
      </c>
      <c r="B29" s="274" t="s">
        <v>383</v>
      </c>
      <c r="C29" s="275">
        <f t="shared" si="9"/>
        <v>2127.343421</v>
      </c>
      <c r="D29" s="275"/>
      <c r="E29" s="275">
        <v>1439.3240000000001</v>
      </c>
      <c r="F29" s="275"/>
      <c r="G29" s="275">
        <f t="shared" si="5"/>
        <v>688</v>
      </c>
      <c r="H29" s="275"/>
      <c r="I29" s="275">
        <v>688</v>
      </c>
      <c r="J29" s="275">
        <v>1.9421000000000001E-2</v>
      </c>
      <c r="K29" s="275">
        <f t="shared" si="10"/>
        <v>2127.2064209999999</v>
      </c>
      <c r="L29" s="275"/>
      <c r="M29" s="275">
        <v>1325.6066519999999</v>
      </c>
      <c r="N29" s="275"/>
      <c r="O29" s="275">
        <f t="shared" si="8"/>
        <v>668.53099999999995</v>
      </c>
      <c r="P29" s="275"/>
      <c r="Q29" s="275">
        <v>668.53099999999995</v>
      </c>
      <c r="R29" s="275">
        <v>133.068769</v>
      </c>
      <c r="S29" s="276">
        <f t="shared" si="6"/>
        <v>0.99993560043073071</v>
      </c>
      <c r="T29" s="276"/>
      <c r="U29" s="276">
        <f t="shared" si="7"/>
        <v>0.92099252982650182</v>
      </c>
      <c r="V29" s="276">
        <f>O29/G29</f>
        <v>0.97170203488372087</v>
      </c>
      <c r="W29" s="276"/>
      <c r="X29" s="276">
        <f>Q29/I29</f>
        <v>0.97170203488372087</v>
      </c>
      <c r="Y29" s="276">
        <f>R29/J29</f>
        <v>6851.7980021626072</v>
      </c>
    </row>
    <row r="30" spans="1:25" ht="15.95" customHeight="1">
      <c r="A30" s="273" t="s">
        <v>63</v>
      </c>
      <c r="B30" s="274" t="s">
        <v>87</v>
      </c>
      <c r="C30" s="275">
        <f t="shared" si="9"/>
        <v>2209.0409999999997</v>
      </c>
      <c r="D30" s="275"/>
      <c r="E30" s="275">
        <v>1078.3789999999999</v>
      </c>
      <c r="F30" s="275"/>
      <c r="G30" s="275">
        <f t="shared" si="5"/>
        <v>748</v>
      </c>
      <c r="H30" s="275"/>
      <c r="I30" s="275">
        <v>748</v>
      </c>
      <c r="J30" s="275">
        <v>382.66199999999998</v>
      </c>
      <c r="K30" s="275">
        <f t="shared" si="10"/>
        <v>2193.991</v>
      </c>
      <c r="L30" s="275"/>
      <c r="M30" s="275">
        <v>1063.328681</v>
      </c>
      <c r="N30" s="275"/>
      <c r="O30" s="275">
        <f t="shared" si="8"/>
        <v>1092.6300000000001</v>
      </c>
      <c r="P30" s="275"/>
      <c r="Q30" s="275">
        <v>1092.6300000000001</v>
      </c>
      <c r="R30" s="275">
        <v>38.032319000000001</v>
      </c>
      <c r="S30" s="276">
        <f t="shared" si="6"/>
        <v>0.99318708887702867</v>
      </c>
      <c r="T30" s="276"/>
      <c r="U30" s="276">
        <f t="shared" si="7"/>
        <v>0.98604357187964531</v>
      </c>
      <c r="V30" s="276">
        <f>O30/G30</f>
        <v>1.4607352941176472</v>
      </c>
      <c r="W30" s="276"/>
      <c r="X30" s="276">
        <f>Q30/I30</f>
        <v>1.4607352941176472</v>
      </c>
      <c r="Y30" s="276">
        <f>R30/J30</f>
        <v>9.9388805264175706E-2</v>
      </c>
    </row>
    <row r="31" spans="1:25" ht="27" customHeight="1">
      <c r="A31" s="273" t="s">
        <v>64</v>
      </c>
      <c r="B31" s="274" t="s">
        <v>459</v>
      </c>
      <c r="C31" s="275">
        <f t="shared" si="9"/>
        <v>1737.6020000000001</v>
      </c>
      <c r="D31" s="275"/>
      <c r="E31" s="275">
        <f>1437.602+300</f>
        <v>1737.6020000000001</v>
      </c>
      <c r="F31" s="275"/>
      <c r="G31" s="275">
        <f t="shared" si="5"/>
        <v>0</v>
      </c>
      <c r="H31" s="275"/>
      <c r="I31" s="275"/>
      <c r="J31" s="275">
        <v>0</v>
      </c>
      <c r="K31" s="275">
        <f t="shared" si="10"/>
        <v>1727.5520000000001</v>
      </c>
      <c r="L31" s="275"/>
      <c r="M31" s="275">
        <f>1415.67173+300</f>
        <v>1715.67173</v>
      </c>
      <c r="N31" s="275"/>
      <c r="O31" s="275">
        <f t="shared" si="8"/>
        <v>0</v>
      </c>
      <c r="P31" s="275"/>
      <c r="Q31" s="275"/>
      <c r="R31" s="275">
        <v>11.880269999999999</v>
      </c>
      <c r="S31" s="276">
        <f t="shared" si="6"/>
        <v>0.99421616687826098</v>
      </c>
      <c r="T31" s="276"/>
      <c r="U31" s="276">
        <f t="shared" si="7"/>
        <v>0.98737900278659896</v>
      </c>
      <c r="V31" s="276"/>
      <c r="W31" s="276"/>
      <c r="X31" s="276"/>
      <c r="Y31" s="276"/>
    </row>
    <row r="32" spans="1:25" ht="15.95" customHeight="1">
      <c r="A32" s="273" t="s">
        <v>65</v>
      </c>
      <c r="B32" s="274" t="s">
        <v>88</v>
      </c>
      <c r="C32" s="275">
        <f t="shared" si="9"/>
        <v>908.80200000000002</v>
      </c>
      <c r="D32" s="275"/>
      <c r="E32" s="275">
        <v>908.80200000000002</v>
      </c>
      <c r="F32" s="275"/>
      <c r="G32" s="275">
        <f t="shared" si="5"/>
        <v>0</v>
      </c>
      <c r="H32" s="275"/>
      <c r="I32" s="275"/>
      <c r="J32" s="275">
        <v>0</v>
      </c>
      <c r="K32" s="275">
        <f t="shared" si="10"/>
        <v>890.072</v>
      </c>
      <c r="L32" s="275"/>
      <c r="M32" s="275">
        <v>880.58802800000001</v>
      </c>
      <c r="N32" s="275"/>
      <c r="O32" s="275">
        <f t="shared" si="8"/>
        <v>0</v>
      </c>
      <c r="P32" s="275"/>
      <c r="Q32" s="275"/>
      <c r="R32" s="275">
        <v>9.4839719999999996</v>
      </c>
      <c r="S32" s="276">
        <f t="shared" si="6"/>
        <v>0.97939045028510063</v>
      </c>
      <c r="T32" s="276"/>
      <c r="U32" s="276">
        <f t="shared" si="7"/>
        <v>0.96895476462419761</v>
      </c>
      <c r="V32" s="276"/>
      <c r="W32" s="276"/>
      <c r="X32" s="276"/>
      <c r="Y32" s="276"/>
    </row>
    <row r="33" spans="1:25" ht="15.95" customHeight="1">
      <c r="A33" s="273" t="s">
        <v>66</v>
      </c>
      <c r="B33" s="274" t="s">
        <v>254</v>
      </c>
      <c r="C33" s="275">
        <f t="shared" si="9"/>
        <v>204.62</v>
      </c>
      <c r="D33" s="275"/>
      <c r="E33" s="275">
        <v>204.62</v>
      </c>
      <c r="F33" s="275"/>
      <c r="G33" s="275">
        <f t="shared" si="5"/>
        <v>0</v>
      </c>
      <c r="H33" s="275"/>
      <c r="I33" s="275"/>
      <c r="J33" s="275">
        <v>0</v>
      </c>
      <c r="K33" s="275">
        <f t="shared" si="10"/>
        <v>204.62</v>
      </c>
      <c r="L33" s="275"/>
      <c r="M33" s="275">
        <v>204.62</v>
      </c>
      <c r="N33" s="275"/>
      <c r="O33" s="275">
        <f t="shared" si="8"/>
        <v>0</v>
      </c>
      <c r="P33" s="275"/>
      <c r="Q33" s="275"/>
      <c r="R33" s="275"/>
      <c r="S33" s="276">
        <f t="shared" si="6"/>
        <v>1</v>
      </c>
      <c r="T33" s="276"/>
      <c r="U33" s="276">
        <f t="shared" si="7"/>
        <v>1</v>
      </c>
      <c r="V33" s="276"/>
      <c r="W33" s="276"/>
      <c r="X33" s="276"/>
      <c r="Y33" s="276"/>
    </row>
    <row r="34" spans="1:25" ht="15.95" customHeight="1">
      <c r="A34" s="273" t="s">
        <v>67</v>
      </c>
      <c r="B34" s="274" t="s">
        <v>255</v>
      </c>
      <c r="C34" s="275">
        <f t="shared" si="9"/>
        <v>131.952</v>
      </c>
      <c r="D34" s="275"/>
      <c r="E34" s="275">
        <v>131.952</v>
      </c>
      <c r="F34" s="275"/>
      <c r="G34" s="275">
        <f t="shared" si="5"/>
        <v>0</v>
      </c>
      <c r="H34" s="275"/>
      <c r="I34" s="275"/>
      <c r="J34" s="275">
        <v>0</v>
      </c>
      <c r="K34" s="275">
        <f t="shared" si="10"/>
        <v>131.952</v>
      </c>
      <c r="L34" s="275"/>
      <c r="M34" s="275">
        <v>131.952</v>
      </c>
      <c r="N34" s="275"/>
      <c r="O34" s="275">
        <f t="shared" si="8"/>
        <v>0</v>
      </c>
      <c r="P34" s="275"/>
      <c r="Q34" s="275"/>
      <c r="R34" s="275"/>
      <c r="S34" s="276">
        <f t="shared" si="6"/>
        <v>1</v>
      </c>
      <c r="T34" s="276"/>
      <c r="U34" s="276">
        <f t="shared" si="7"/>
        <v>1</v>
      </c>
      <c r="V34" s="276"/>
      <c r="W34" s="276"/>
      <c r="X34" s="276"/>
      <c r="Y34" s="276"/>
    </row>
    <row r="35" spans="1:25" ht="15.95" customHeight="1">
      <c r="A35" s="273" t="s">
        <v>68</v>
      </c>
      <c r="B35" s="274" t="s">
        <v>93</v>
      </c>
      <c r="C35" s="275">
        <f t="shared" si="9"/>
        <v>215.952</v>
      </c>
      <c r="D35" s="275"/>
      <c r="E35" s="275">
        <v>215.952</v>
      </c>
      <c r="F35" s="275"/>
      <c r="G35" s="275">
        <f t="shared" si="5"/>
        <v>0</v>
      </c>
      <c r="H35" s="275"/>
      <c r="I35" s="275"/>
      <c r="J35" s="275">
        <v>0</v>
      </c>
      <c r="K35" s="275">
        <f t="shared" si="10"/>
        <v>215.952</v>
      </c>
      <c r="L35" s="275"/>
      <c r="M35" s="275">
        <v>215.952</v>
      </c>
      <c r="N35" s="275"/>
      <c r="O35" s="275">
        <f t="shared" si="8"/>
        <v>0</v>
      </c>
      <c r="P35" s="275"/>
      <c r="Q35" s="275"/>
      <c r="R35" s="275"/>
      <c r="S35" s="276">
        <f t="shared" si="6"/>
        <v>1</v>
      </c>
      <c r="T35" s="276"/>
      <c r="U35" s="276">
        <f t="shared" si="7"/>
        <v>1</v>
      </c>
      <c r="V35" s="276"/>
      <c r="W35" s="276"/>
      <c r="X35" s="276"/>
      <c r="Y35" s="276"/>
    </row>
    <row r="36" spans="1:25" ht="15.95" customHeight="1">
      <c r="A36" s="273" t="s">
        <v>69</v>
      </c>
      <c r="B36" s="274" t="s">
        <v>256</v>
      </c>
      <c r="C36" s="275">
        <f t="shared" si="9"/>
        <v>10</v>
      </c>
      <c r="D36" s="275"/>
      <c r="E36" s="275">
        <v>10</v>
      </c>
      <c r="F36" s="275"/>
      <c r="G36" s="275">
        <f t="shared" si="5"/>
        <v>0</v>
      </c>
      <c r="H36" s="275"/>
      <c r="I36" s="275"/>
      <c r="J36" s="275">
        <v>0</v>
      </c>
      <c r="K36" s="275">
        <f t="shared" si="10"/>
        <v>10</v>
      </c>
      <c r="L36" s="275"/>
      <c r="M36" s="275">
        <v>10</v>
      </c>
      <c r="N36" s="275"/>
      <c r="O36" s="275">
        <f t="shared" si="8"/>
        <v>0</v>
      </c>
      <c r="P36" s="275"/>
      <c r="Q36" s="275"/>
      <c r="R36" s="275"/>
      <c r="S36" s="276">
        <f t="shared" si="6"/>
        <v>1</v>
      </c>
      <c r="T36" s="276"/>
      <c r="U36" s="276">
        <f t="shared" si="7"/>
        <v>1</v>
      </c>
      <c r="V36" s="276"/>
      <c r="W36" s="276"/>
      <c r="X36" s="276"/>
      <c r="Y36" s="276"/>
    </row>
    <row r="37" spans="1:25" ht="15.95" customHeight="1">
      <c r="A37" s="273" t="s">
        <v>70</v>
      </c>
      <c r="B37" s="274" t="s">
        <v>92</v>
      </c>
      <c r="C37" s="275">
        <f t="shared" si="9"/>
        <v>211.47200000000001</v>
      </c>
      <c r="D37" s="275"/>
      <c r="E37" s="275">
        <v>211.47200000000001</v>
      </c>
      <c r="F37" s="275"/>
      <c r="G37" s="275">
        <f t="shared" si="5"/>
        <v>0</v>
      </c>
      <c r="H37" s="275"/>
      <c r="I37" s="275"/>
      <c r="J37" s="275">
        <v>0</v>
      </c>
      <c r="K37" s="275">
        <f t="shared" si="10"/>
        <v>211.47200000000001</v>
      </c>
      <c r="L37" s="275"/>
      <c r="M37" s="275">
        <v>211.47200000000001</v>
      </c>
      <c r="N37" s="275"/>
      <c r="O37" s="275">
        <f t="shared" si="8"/>
        <v>0</v>
      </c>
      <c r="P37" s="275"/>
      <c r="Q37" s="275"/>
      <c r="R37" s="275"/>
      <c r="S37" s="276">
        <f t="shared" si="6"/>
        <v>1</v>
      </c>
      <c r="T37" s="276"/>
      <c r="U37" s="276">
        <f t="shared" si="7"/>
        <v>1</v>
      </c>
      <c r="V37" s="276"/>
      <c r="W37" s="276"/>
      <c r="X37" s="276"/>
      <c r="Y37" s="276"/>
    </row>
    <row r="38" spans="1:25" ht="27" customHeight="1">
      <c r="A38" s="273" t="s">
        <v>71</v>
      </c>
      <c r="B38" s="274" t="s">
        <v>252</v>
      </c>
      <c r="C38" s="275">
        <f t="shared" si="9"/>
        <v>4223.6119390000003</v>
      </c>
      <c r="D38" s="275"/>
      <c r="E38" s="275">
        <v>3908.8145</v>
      </c>
      <c r="F38" s="275"/>
      <c r="G38" s="275">
        <f t="shared" si="5"/>
        <v>176</v>
      </c>
      <c r="H38" s="275"/>
      <c r="I38" s="275">
        <v>176</v>
      </c>
      <c r="J38" s="275">
        <v>138.797439</v>
      </c>
      <c r="K38" s="275">
        <f>L38+M38+O38+R38</f>
        <v>4072.0862429999997</v>
      </c>
      <c r="L38" s="275"/>
      <c r="M38" s="275">
        <v>3750.7788620000001</v>
      </c>
      <c r="N38" s="275"/>
      <c r="O38" s="275">
        <f t="shared" si="8"/>
        <v>174.48187999999999</v>
      </c>
      <c r="P38" s="275"/>
      <c r="Q38" s="275">
        <v>174.48187999999999</v>
      </c>
      <c r="R38" s="275">
        <v>146.825501</v>
      </c>
      <c r="S38" s="276">
        <f t="shared" si="6"/>
        <v>0.96412414346099318</v>
      </c>
      <c r="T38" s="276"/>
      <c r="U38" s="276">
        <f t="shared" si="7"/>
        <v>0.95956941983304656</v>
      </c>
      <c r="V38" s="276">
        <f>O38/G38</f>
        <v>0.99137431818181809</v>
      </c>
      <c r="W38" s="276"/>
      <c r="X38" s="276">
        <f>Q38/I38</f>
        <v>0.99137431818181809</v>
      </c>
      <c r="Y38" s="276">
        <f>R38/J38</f>
        <v>1.0578401306093264</v>
      </c>
    </row>
    <row r="39" spans="1:25" ht="15.95" customHeight="1">
      <c r="A39" s="273" t="s">
        <v>126</v>
      </c>
      <c r="B39" s="274" t="s">
        <v>253</v>
      </c>
      <c r="C39" s="275">
        <f t="shared" si="9"/>
        <v>2159.2669999999998</v>
      </c>
      <c r="D39" s="275"/>
      <c r="E39" s="275">
        <v>2159.2669999999998</v>
      </c>
      <c r="F39" s="275"/>
      <c r="G39" s="275">
        <f t="shared" si="5"/>
        <v>0</v>
      </c>
      <c r="H39" s="275"/>
      <c r="I39" s="275"/>
      <c r="J39" s="275">
        <v>0</v>
      </c>
      <c r="K39" s="275">
        <f>L39+M39+O39+R39</f>
        <v>2126.4314989999998</v>
      </c>
      <c r="L39" s="275"/>
      <c r="M39" s="275">
        <v>2126.1374679999999</v>
      </c>
      <c r="N39" s="275"/>
      <c r="O39" s="275">
        <f t="shared" si="8"/>
        <v>0</v>
      </c>
      <c r="P39" s="275"/>
      <c r="Q39" s="275"/>
      <c r="R39" s="275">
        <v>0.29403099999999999</v>
      </c>
      <c r="S39" s="276">
        <f t="shared" si="6"/>
        <v>0.98479321871727765</v>
      </c>
      <c r="T39" s="276"/>
      <c r="U39" s="276">
        <f t="shared" si="7"/>
        <v>0.98465704704420531</v>
      </c>
      <c r="V39" s="276"/>
      <c r="W39" s="276"/>
      <c r="X39" s="276"/>
      <c r="Y39" s="276"/>
    </row>
    <row r="40" spans="1:25" ht="15.95" customHeight="1">
      <c r="A40" s="273" t="s">
        <v>127</v>
      </c>
      <c r="B40" s="274" t="s">
        <v>257</v>
      </c>
      <c r="C40" s="275">
        <f t="shared" si="9"/>
        <v>11304.6121</v>
      </c>
      <c r="D40" s="275"/>
      <c r="E40" s="275">
        <v>11304.6121</v>
      </c>
      <c r="F40" s="275"/>
      <c r="G40" s="275">
        <f t="shared" si="5"/>
        <v>0</v>
      </c>
      <c r="H40" s="275"/>
      <c r="I40" s="275"/>
      <c r="J40" s="275">
        <v>0</v>
      </c>
      <c r="K40" s="275">
        <f t="shared" si="10"/>
        <v>11272.1631</v>
      </c>
      <c r="L40" s="275"/>
      <c r="M40" s="275">
        <v>11272.1631</v>
      </c>
      <c r="N40" s="275"/>
      <c r="O40" s="275">
        <f t="shared" si="8"/>
        <v>0</v>
      </c>
      <c r="P40" s="275"/>
      <c r="Q40" s="275"/>
      <c r="R40" s="275"/>
      <c r="S40" s="276">
        <f t="shared" si="6"/>
        <v>0.9971295786433928</v>
      </c>
      <c r="T40" s="276"/>
      <c r="U40" s="276">
        <f t="shared" si="7"/>
        <v>0.9971295786433928</v>
      </c>
      <c r="V40" s="276"/>
      <c r="W40" s="276"/>
      <c r="X40" s="276"/>
      <c r="Y40" s="276"/>
    </row>
    <row r="41" spans="1:25" ht="15.95" customHeight="1">
      <c r="A41" s="273" t="s">
        <v>128</v>
      </c>
      <c r="B41" s="274" t="s">
        <v>258</v>
      </c>
      <c r="C41" s="275">
        <f t="shared" si="9"/>
        <v>2264.1550000000002</v>
      </c>
      <c r="D41" s="275"/>
      <c r="E41" s="275">
        <v>2264.1550000000002</v>
      </c>
      <c r="F41" s="275"/>
      <c r="G41" s="275">
        <f t="shared" si="5"/>
        <v>0</v>
      </c>
      <c r="H41" s="275"/>
      <c r="I41" s="275"/>
      <c r="J41" s="275">
        <v>0</v>
      </c>
      <c r="K41" s="275">
        <f t="shared" si="10"/>
        <v>2264.1550000000002</v>
      </c>
      <c r="L41" s="275"/>
      <c r="M41" s="275">
        <v>2264.1550000000002</v>
      </c>
      <c r="N41" s="275"/>
      <c r="O41" s="275">
        <f t="shared" si="8"/>
        <v>0</v>
      </c>
      <c r="P41" s="275"/>
      <c r="Q41" s="275"/>
      <c r="R41" s="275"/>
      <c r="S41" s="276">
        <f t="shared" si="6"/>
        <v>1</v>
      </c>
      <c r="T41" s="276"/>
      <c r="U41" s="276">
        <f t="shared" si="7"/>
        <v>1</v>
      </c>
      <c r="V41" s="276"/>
      <c r="W41" s="276"/>
      <c r="X41" s="276"/>
      <c r="Y41" s="276"/>
    </row>
    <row r="42" spans="1:25" ht="15.95" customHeight="1">
      <c r="A42" s="273" t="s">
        <v>129</v>
      </c>
      <c r="B42" s="274" t="s">
        <v>259</v>
      </c>
      <c r="C42" s="275">
        <f t="shared" si="9"/>
        <v>172</v>
      </c>
      <c r="D42" s="275"/>
      <c r="E42" s="275">
        <v>172</v>
      </c>
      <c r="F42" s="275"/>
      <c r="G42" s="275">
        <f t="shared" si="5"/>
        <v>0</v>
      </c>
      <c r="H42" s="275"/>
      <c r="I42" s="275"/>
      <c r="J42" s="275">
        <v>0</v>
      </c>
      <c r="K42" s="275">
        <f t="shared" si="10"/>
        <v>172</v>
      </c>
      <c r="L42" s="275"/>
      <c r="M42" s="275">
        <v>172</v>
      </c>
      <c r="N42" s="275"/>
      <c r="O42" s="275">
        <f t="shared" si="8"/>
        <v>0</v>
      </c>
      <c r="P42" s="275"/>
      <c r="Q42" s="275"/>
      <c r="R42" s="275"/>
      <c r="S42" s="276">
        <f t="shared" si="6"/>
        <v>1</v>
      </c>
      <c r="T42" s="276"/>
      <c r="U42" s="276">
        <f t="shared" si="7"/>
        <v>1</v>
      </c>
      <c r="V42" s="276"/>
      <c r="W42" s="276"/>
      <c r="X42" s="276"/>
      <c r="Y42" s="276"/>
    </row>
    <row r="43" spans="1:25" ht="15.95" customHeight="1">
      <c r="A43" s="273" t="s">
        <v>130</v>
      </c>
      <c r="B43" s="274" t="s">
        <v>260</v>
      </c>
      <c r="C43" s="275">
        <f t="shared" si="9"/>
        <v>65.600999999999999</v>
      </c>
      <c r="D43" s="275"/>
      <c r="E43" s="275">
        <v>65.600999999999999</v>
      </c>
      <c r="F43" s="275"/>
      <c r="G43" s="275">
        <f t="shared" si="5"/>
        <v>0</v>
      </c>
      <c r="H43" s="275"/>
      <c r="I43" s="275"/>
      <c r="J43" s="275">
        <v>0</v>
      </c>
      <c r="K43" s="275">
        <f t="shared" si="10"/>
        <v>65.600999999999999</v>
      </c>
      <c r="L43" s="275"/>
      <c r="M43" s="275">
        <v>65.600999999999999</v>
      </c>
      <c r="N43" s="275"/>
      <c r="O43" s="275">
        <f t="shared" si="8"/>
        <v>0</v>
      </c>
      <c r="P43" s="275"/>
      <c r="Q43" s="275"/>
      <c r="R43" s="275"/>
      <c r="S43" s="276">
        <f t="shared" si="6"/>
        <v>1</v>
      </c>
      <c r="T43" s="276"/>
      <c r="U43" s="276">
        <f t="shared" si="7"/>
        <v>1</v>
      </c>
      <c r="V43" s="276"/>
      <c r="W43" s="276"/>
      <c r="X43" s="276"/>
      <c r="Y43" s="276"/>
    </row>
    <row r="44" spans="1:25" ht="15.95" customHeight="1">
      <c r="A44" s="273" t="s">
        <v>131</v>
      </c>
      <c r="B44" s="274" t="s">
        <v>534</v>
      </c>
      <c r="C44" s="275">
        <f t="shared" ref="C44" si="11">D44+E44+F44+G44+J44</f>
        <v>45</v>
      </c>
      <c r="D44" s="275"/>
      <c r="E44" s="275">
        <v>45</v>
      </c>
      <c r="F44" s="275"/>
      <c r="G44" s="275">
        <f t="shared" ref="G44" si="12">SUM(H44:I44)</f>
        <v>0</v>
      </c>
      <c r="H44" s="275"/>
      <c r="I44" s="275"/>
      <c r="J44" s="275">
        <v>0</v>
      </c>
      <c r="K44" s="275">
        <f t="shared" ref="K44" si="13">L44+M44+O44+R44</f>
        <v>45</v>
      </c>
      <c r="L44" s="275"/>
      <c r="M44" s="275">
        <v>45</v>
      </c>
      <c r="N44" s="275"/>
      <c r="O44" s="275">
        <f t="shared" ref="O44" si="14">P44+Q44</f>
        <v>0</v>
      </c>
      <c r="P44" s="275"/>
      <c r="Q44" s="275"/>
      <c r="R44" s="275"/>
      <c r="S44" s="276">
        <f t="shared" ref="S44:S75" si="15">K44/C44</f>
        <v>1</v>
      </c>
      <c r="T44" s="276"/>
      <c r="U44" s="276">
        <f t="shared" ref="U44:U75" si="16">M44/E44</f>
        <v>1</v>
      </c>
      <c r="V44" s="276"/>
      <c r="W44" s="276"/>
      <c r="X44" s="276"/>
      <c r="Y44" s="276"/>
    </row>
    <row r="45" spans="1:25" ht="15.95" customHeight="1">
      <c r="A45" s="273" t="s">
        <v>132</v>
      </c>
      <c r="B45" s="274" t="s">
        <v>261</v>
      </c>
      <c r="C45" s="275">
        <f t="shared" si="9"/>
        <v>31.2</v>
      </c>
      <c r="D45" s="275"/>
      <c r="E45" s="275">
        <v>31.2</v>
      </c>
      <c r="F45" s="275"/>
      <c r="G45" s="275">
        <f t="shared" si="5"/>
        <v>0</v>
      </c>
      <c r="H45" s="275"/>
      <c r="I45" s="275"/>
      <c r="J45" s="275">
        <v>0</v>
      </c>
      <c r="K45" s="275">
        <f t="shared" si="10"/>
        <v>31.2</v>
      </c>
      <c r="L45" s="275"/>
      <c r="M45" s="275">
        <v>31.2</v>
      </c>
      <c r="N45" s="275"/>
      <c r="O45" s="275">
        <f t="shared" si="8"/>
        <v>0</v>
      </c>
      <c r="P45" s="275"/>
      <c r="Q45" s="275"/>
      <c r="R45" s="275"/>
      <c r="S45" s="276">
        <f t="shared" si="15"/>
        <v>1</v>
      </c>
      <c r="T45" s="276"/>
      <c r="U45" s="276">
        <f t="shared" si="16"/>
        <v>1</v>
      </c>
      <c r="V45" s="276"/>
      <c r="W45" s="276"/>
      <c r="X45" s="276"/>
      <c r="Y45" s="276"/>
    </row>
    <row r="46" spans="1:25" ht="15.95" customHeight="1">
      <c r="A46" s="273" t="s">
        <v>264</v>
      </c>
      <c r="B46" s="274" t="s">
        <v>262</v>
      </c>
      <c r="C46" s="275">
        <f t="shared" si="9"/>
        <v>75</v>
      </c>
      <c r="D46" s="275"/>
      <c r="E46" s="275">
        <v>75</v>
      </c>
      <c r="F46" s="275"/>
      <c r="G46" s="275">
        <f t="shared" si="5"/>
        <v>0</v>
      </c>
      <c r="H46" s="275"/>
      <c r="I46" s="275"/>
      <c r="J46" s="275">
        <v>0</v>
      </c>
      <c r="K46" s="275">
        <f t="shared" si="10"/>
        <v>75</v>
      </c>
      <c r="L46" s="275"/>
      <c r="M46" s="275">
        <v>75</v>
      </c>
      <c r="N46" s="275"/>
      <c r="O46" s="275">
        <f t="shared" si="8"/>
        <v>0</v>
      </c>
      <c r="P46" s="275"/>
      <c r="Q46" s="275"/>
      <c r="R46" s="275"/>
      <c r="S46" s="276">
        <f t="shared" si="15"/>
        <v>1</v>
      </c>
      <c r="T46" s="276"/>
      <c r="U46" s="276">
        <f t="shared" si="16"/>
        <v>1</v>
      </c>
      <c r="V46" s="276"/>
      <c r="W46" s="276"/>
      <c r="X46" s="276"/>
      <c r="Y46" s="276"/>
    </row>
    <row r="47" spans="1:25" ht="15.95" customHeight="1">
      <c r="A47" s="273" t="s">
        <v>394</v>
      </c>
      <c r="B47" s="274" t="s">
        <v>263</v>
      </c>
      <c r="C47" s="275">
        <f t="shared" si="9"/>
        <v>1500</v>
      </c>
      <c r="D47" s="275"/>
      <c r="E47" s="275">
        <v>1500</v>
      </c>
      <c r="F47" s="275"/>
      <c r="G47" s="275">
        <f t="shared" si="5"/>
        <v>0</v>
      </c>
      <c r="H47" s="275"/>
      <c r="I47" s="275"/>
      <c r="J47" s="275">
        <v>0</v>
      </c>
      <c r="K47" s="275">
        <f t="shared" si="10"/>
        <v>1500</v>
      </c>
      <c r="L47" s="275"/>
      <c r="M47" s="275">
        <v>1500</v>
      </c>
      <c r="N47" s="275"/>
      <c r="O47" s="275">
        <f t="shared" si="8"/>
        <v>0</v>
      </c>
      <c r="P47" s="275"/>
      <c r="Q47" s="275"/>
      <c r="R47" s="275"/>
      <c r="S47" s="276">
        <f t="shared" si="15"/>
        <v>1</v>
      </c>
      <c r="T47" s="276"/>
      <c r="U47" s="276">
        <f t="shared" si="16"/>
        <v>1</v>
      </c>
      <c r="V47" s="276"/>
      <c r="W47" s="276"/>
      <c r="X47" s="276"/>
      <c r="Y47" s="276"/>
    </row>
    <row r="48" spans="1:25" ht="15.95" customHeight="1">
      <c r="A48" s="273" t="s">
        <v>265</v>
      </c>
      <c r="B48" s="274" t="s">
        <v>403</v>
      </c>
      <c r="C48" s="275">
        <f t="shared" ref="C48:C49" si="17">D48+E48+F48+G48+J48</f>
        <v>17</v>
      </c>
      <c r="D48" s="275"/>
      <c r="E48" s="275">
        <v>17</v>
      </c>
      <c r="F48" s="275"/>
      <c r="G48" s="275">
        <f t="shared" ref="G48:G49" si="18">SUM(H48:I48)</f>
        <v>0</v>
      </c>
      <c r="H48" s="275"/>
      <c r="I48" s="275"/>
      <c r="J48" s="275">
        <v>0</v>
      </c>
      <c r="K48" s="275">
        <f t="shared" ref="K48:K49" si="19">L48+M48+O48+R48</f>
        <v>17</v>
      </c>
      <c r="L48" s="275"/>
      <c r="M48" s="275">
        <v>17</v>
      </c>
      <c r="N48" s="275"/>
      <c r="O48" s="275"/>
      <c r="P48" s="275"/>
      <c r="Q48" s="275"/>
      <c r="R48" s="275"/>
      <c r="S48" s="276">
        <f t="shared" si="15"/>
        <v>1</v>
      </c>
      <c r="T48" s="276"/>
      <c r="U48" s="276">
        <f t="shared" si="16"/>
        <v>1</v>
      </c>
      <c r="V48" s="276"/>
      <c r="W48" s="276"/>
      <c r="X48" s="276"/>
      <c r="Y48" s="276"/>
    </row>
    <row r="49" spans="1:25" ht="15.95" customHeight="1">
      <c r="A49" s="273" t="s">
        <v>266</v>
      </c>
      <c r="B49" s="274" t="s">
        <v>454</v>
      </c>
      <c r="C49" s="275">
        <f t="shared" si="17"/>
        <v>148</v>
      </c>
      <c r="D49" s="275"/>
      <c r="E49" s="275">
        <v>148</v>
      </c>
      <c r="F49" s="275"/>
      <c r="G49" s="275">
        <f t="shared" si="18"/>
        <v>0</v>
      </c>
      <c r="H49" s="275"/>
      <c r="I49" s="275"/>
      <c r="J49" s="275">
        <v>0</v>
      </c>
      <c r="K49" s="275">
        <f t="shared" si="19"/>
        <v>148</v>
      </c>
      <c r="L49" s="275"/>
      <c r="M49" s="275">
        <v>148</v>
      </c>
      <c r="N49" s="275"/>
      <c r="O49" s="275"/>
      <c r="P49" s="275"/>
      <c r="Q49" s="275"/>
      <c r="R49" s="275"/>
      <c r="S49" s="276">
        <f t="shared" si="15"/>
        <v>1</v>
      </c>
      <c r="T49" s="276"/>
      <c r="U49" s="276">
        <f t="shared" si="16"/>
        <v>1</v>
      </c>
      <c r="V49" s="276"/>
      <c r="W49" s="276"/>
      <c r="X49" s="276"/>
      <c r="Y49" s="276"/>
    </row>
    <row r="50" spans="1:25" ht="15.95" customHeight="1">
      <c r="A50" s="273" t="s">
        <v>267</v>
      </c>
      <c r="B50" s="274" t="s">
        <v>455</v>
      </c>
      <c r="C50" s="275">
        <f t="shared" si="9"/>
        <v>100</v>
      </c>
      <c r="D50" s="275"/>
      <c r="E50" s="275">
        <v>100</v>
      </c>
      <c r="F50" s="275"/>
      <c r="G50" s="275">
        <f t="shared" si="5"/>
        <v>0</v>
      </c>
      <c r="H50" s="275"/>
      <c r="I50" s="275"/>
      <c r="J50" s="275">
        <v>0</v>
      </c>
      <c r="K50" s="275">
        <f t="shared" si="10"/>
        <v>100</v>
      </c>
      <c r="L50" s="275"/>
      <c r="M50" s="275">
        <v>100</v>
      </c>
      <c r="N50" s="275"/>
      <c r="O50" s="275"/>
      <c r="P50" s="275"/>
      <c r="Q50" s="275"/>
      <c r="R50" s="275"/>
      <c r="S50" s="276">
        <f t="shared" si="15"/>
        <v>1</v>
      </c>
      <c r="T50" s="276"/>
      <c r="U50" s="276">
        <f t="shared" si="16"/>
        <v>1</v>
      </c>
      <c r="V50" s="276"/>
      <c r="W50" s="276"/>
      <c r="X50" s="276"/>
      <c r="Y50" s="276"/>
    </row>
    <row r="51" spans="1:25" ht="15.95" customHeight="1">
      <c r="A51" s="273" t="s">
        <v>268</v>
      </c>
      <c r="B51" s="274" t="s">
        <v>456</v>
      </c>
      <c r="C51" s="275">
        <f t="shared" si="9"/>
        <v>916.51800000000003</v>
      </c>
      <c r="D51" s="275"/>
      <c r="E51" s="275">
        <v>916.51800000000003</v>
      </c>
      <c r="F51" s="275"/>
      <c r="G51" s="275">
        <f t="shared" si="5"/>
        <v>0</v>
      </c>
      <c r="H51" s="275"/>
      <c r="I51" s="275"/>
      <c r="J51" s="275">
        <v>0</v>
      </c>
      <c r="K51" s="275">
        <f t="shared" si="10"/>
        <v>916.51800000000003</v>
      </c>
      <c r="L51" s="275"/>
      <c r="M51" s="275">
        <v>916.51800000000003</v>
      </c>
      <c r="N51" s="275"/>
      <c r="O51" s="275">
        <f t="shared" si="8"/>
        <v>0</v>
      </c>
      <c r="P51" s="275"/>
      <c r="Q51" s="275"/>
      <c r="R51" s="275"/>
      <c r="S51" s="276">
        <f t="shared" si="15"/>
        <v>1</v>
      </c>
      <c r="T51" s="276"/>
      <c r="U51" s="276">
        <f t="shared" si="16"/>
        <v>1</v>
      </c>
      <c r="V51" s="276"/>
      <c r="W51" s="276"/>
      <c r="X51" s="276"/>
      <c r="Y51" s="276"/>
    </row>
    <row r="52" spans="1:25" ht="15.95" customHeight="1">
      <c r="A52" s="273" t="s">
        <v>269</v>
      </c>
      <c r="B52" s="274" t="s">
        <v>274</v>
      </c>
      <c r="C52" s="275">
        <f t="shared" si="9"/>
        <v>5365.8028559999993</v>
      </c>
      <c r="D52" s="275"/>
      <c r="E52" s="275">
        <v>1822.2429999999999</v>
      </c>
      <c r="F52" s="275"/>
      <c r="G52" s="275">
        <f t="shared" si="5"/>
        <v>2804.8</v>
      </c>
      <c r="H52" s="275"/>
      <c r="I52" s="275">
        <v>2804.8</v>
      </c>
      <c r="J52" s="275">
        <v>738.75985600000001</v>
      </c>
      <c r="K52" s="275">
        <f t="shared" si="10"/>
        <v>5215.7402249999996</v>
      </c>
      <c r="L52" s="275"/>
      <c r="M52" s="275">
        <v>1666.0112670000001</v>
      </c>
      <c r="N52" s="275"/>
      <c r="O52" s="275">
        <f t="shared" si="8"/>
        <v>397</v>
      </c>
      <c r="P52" s="275"/>
      <c r="Q52" s="275">
        <v>397</v>
      </c>
      <c r="R52" s="275">
        <v>3152.7289580000001</v>
      </c>
      <c r="S52" s="276">
        <f t="shared" si="15"/>
        <v>0.97203351762500911</v>
      </c>
      <c r="T52" s="276"/>
      <c r="U52" s="276">
        <f t="shared" si="16"/>
        <v>0.91426405095258978</v>
      </c>
      <c r="V52" s="276">
        <f>O52/G52</f>
        <v>0.14154306902452937</v>
      </c>
      <c r="W52" s="276"/>
      <c r="X52" s="276">
        <f>Q52/I52</f>
        <v>0.14154306902452937</v>
      </c>
      <c r="Y52" s="276">
        <f>R52/J52</f>
        <v>4.2675964758973048</v>
      </c>
    </row>
    <row r="53" spans="1:25" ht="15.95" customHeight="1">
      <c r="A53" s="273" t="s">
        <v>270</v>
      </c>
      <c r="B53" s="274" t="s">
        <v>275</v>
      </c>
      <c r="C53" s="275">
        <f t="shared" si="9"/>
        <v>3291.7651930000002</v>
      </c>
      <c r="D53" s="275"/>
      <c r="E53" s="275">
        <v>3211.8424</v>
      </c>
      <c r="F53" s="275"/>
      <c r="G53" s="275">
        <f t="shared" si="5"/>
        <v>0</v>
      </c>
      <c r="H53" s="275"/>
      <c r="I53" s="275"/>
      <c r="J53" s="275">
        <v>79.922792999999999</v>
      </c>
      <c r="K53" s="275">
        <f t="shared" si="10"/>
        <v>3021.5571989999999</v>
      </c>
      <c r="L53" s="275"/>
      <c r="M53" s="275">
        <v>2960.2225079999998</v>
      </c>
      <c r="N53" s="275"/>
      <c r="O53" s="275">
        <f t="shared" si="8"/>
        <v>0</v>
      </c>
      <c r="P53" s="275"/>
      <c r="Q53" s="275"/>
      <c r="R53" s="275">
        <v>61.334690999999999</v>
      </c>
      <c r="S53" s="276">
        <f t="shared" si="15"/>
        <v>0.91791395249740093</v>
      </c>
      <c r="T53" s="276"/>
      <c r="U53" s="276">
        <f t="shared" si="16"/>
        <v>0.92165870529637439</v>
      </c>
      <c r="V53" s="276"/>
      <c r="W53" s="276"/>
      <c r="X53" s="276"/>
      <c r="Y53" s="276">
        <f t="shared" ref="Y53:Y84" si="20">R53/J53</f>
        <v>0.76742426906927541</v>
      </c>
    </row>
    <row r="54" spans="1:25" ht="15.95" customHeight="1">
      <c r="A54" s="273" t="s">
        <v>271</v>
      </c>
      <c r="B54" s="274" t="s">
        <v>276</v>
      </c>
      <c r="C54" s="275">
        <f t="shared" si="9"/>
        <v>2153.4230939999998</v>
      </c>
      <c r="D54" s="275"/>
      <c r="E54" s="275">
        <v>2040.9259999999999</v>
      </c>
      <c r="F54" s="275"/>
      <c r="G54" s="275">
        <f t="shared" si="5"/>
        <v>0</v>
      </c>
      <c r="H54" s="275"/>
      <c r="I54" s="275"/>
      <c r="J54" s="275">
        <v>112.497094</v>
      </c>
      <c r="K54" s="275">
        <f t="shared" si="10"/>
        <v>2068.3297299999999</v>
      </c>
      <c r="L54" s="275"/>
      <c r="M54" s="275">
        <v>1960.213636</v>
      </c>
      <c r="N54" s="275"/>
      <c r="O54" s="275">
        <f t="shared" si="8"/>
        <v>0</v>
      </c>
      <c r="P54" s="275"/>
      <c r="Q54" s="275"/>
      <c r="R54" s="275">
        <v>108.116094</v>
      </c>
      <c r="S54" s="276">
        <f t="shared" si="15"/>
        <v>0.96048460507501188</v>
      </c>
      <c r="T54" s="276"/>
      <c r="U54" s="276">
        <f t="shared" si="16"/>
        <v>0.96045306689218524</v>
      </c>
      <c r="V54" s="276"/>
      <c r="W54" s="276"/>
      <c r="X54" s="276"/>
      <c r="Y54" s="276">
        <f t="shared" si="20"/>
        <v>0.96105677183092386</v>
      </c>
    </row>
    <row r="55" spans="1:25" ht="15.95" customHeight="1">
      <c r="A55" s="273" t="s">
        <v>272</v>
      </c>
      <c r="B55" s="274" t="s">
        <v>352</v>
      </c>
      <c r="C55" s="275">
        <f t="shared" si="9"/>
        <v>1959.1822070000001</v>
      </c>
      <c r="D55" s="275"/>
      <c r="E55" s="275">
        <v>1868.6420000000001</v>
      </c>
      <c r="F55" s="275"/>
      <c r="G55" s="275">
        <f t="shared" si="5"/>
        <v>0</v>
      </c>
      <c r="H55" s="275"/>
      <c r="I55" s="275"/>
      <c r="J55" s="275">
        <v>90.540206999999995</v>
      </c>
      <c r="K55" s="275">
        <f t="shared" si="10"/>
        <v>1918.0045339999999</v>
      </c>
      <c r="L55" s="275"/>
      <c r="M55" s="275">
        <v>1827.4643269999999</v>
      </c>
      <c r="N55" s="275"/>
      <c r="O55" s="275">
        <f t="shared" si="8"/>
        <v>0</v>
      </c>
      <c r="P55" s="275"/>
      <c r="Q55" s="275"/>
      <c r="R55" s="275">
        <v>90.540206999999995</v>
      </c>
      <c r="S55" s="276">
        <f t="shared" si="15"/>
        <v>0.97898221367421789</v>
      </c>
      <c r="T55" s="276"/>
      <c r="U55" s="276">
        <f t="shared" si="16"/>
        <v>0.97796385128879681</v>
      </c>
      <c r="V55" s="276"/>
      <c r="W55" s="276"/>
      <c r="X55" s="276"/>
      <c r="Y55" s="276">
        <f t="shared" si="20"/>
        <v>1</v>
      </c>
    </row>
    <row r="56" spans="1:25" ht="15.95" customHeight="1">
      <c r="A56" s="273" t="s">
        <v>273</v>
      </c>
      <c r="B56" s="274" t="s">
        <v>277</v>
      </c>
      <c r="C56" s="275">
        <f t="shared" si="9"/>
        <v>4064.153151</v>
      </c>
      <c r="D56" s="275"/>
      <c r="E56" s="275">
        <v>3802.5981999999999</v>
      </c>
      <c r="F56" s="275"/>
      <c r="G56" s="275">
        <f t="shared" si="5"/>
        <v>0</v>
      </c>
      <c r="H56" s="275"/>
      <c r="I56" s="275"/>
      <c r="J56" s="275">
        <v>261.55495100000002</v>
      </c>
      <c r="K56" s="275">
        <f t="shared" si="10"/>
        <v>3966.3697299999999</v>
      </c>
      <c r="L56" s="275"/>
      <c r="M56" s="275">
        <v>3704.8147789999998</v>
      </c>
      <c r="N56" s="275"/>
      <c r="O56" s="275">
        <f t="shared" si="8"/>
        <v>0</v>
      </c>
      <c r="P56" s="275"/>
      <c r="Q56" s="275"/>
      <c r="R56" s="275">
        <v>261.55495100000002</v>
      </c>
      <c r="S56" s="276">
        <f t="shared" si="15"/>
        <v>0.9759400255435895</v>
      </c>
      <c r="T56" s="276"/>
      <c r="U56" s="276">
        <f t="shared" si="16"/>
        <v>0.97428510301193538</v>
      </c>
      <c r="V56" s="276"/>
      <c r="W56" s="276"/>
      <c r="X56" s="276"/>
      <c r="Y56" s="276">
        <f t="shared" si="20"/>
        <v>1</v>
      </c>
    </row>
    <row r="57" spans="1:25" ht="15.95" customHeight="1">
      <c r="A57" s="273" t="s">
        <v>309</v>
      </c>
      <c r="B57" s="274" t="s">
        <v>278</v>
      </c>
      <c r="C57" s="275">
        <f t="shared" si="9"/>
        <v>1643.318</v>
      </c>
      <c r="D57" s="275"/>
      <c r="E57" s="275">
        <v>1613.318</v>
      </c>
      <c r="F57" s="275"/>
      <c r="G57" s="275">
        <f t="shared" si="5"/>
        <v>0</v>
      </c>
      <c r="H57" s="275"/>
      <c r="I57" s="275"/>
      <c r="J57" s="275">
        <v>30</v>
      </c>
      <c r="K57" s="275">
        <f t="shared" si="10"/>
        <v>1520.7394489999999</v>
      </c>
      <c r="L57" s="275"/>
      <c r="M57" s="275">
        <v>1490.7394489999999</v>
      </c>
      <c r="N57" s="275"/>
      <c r="O57" s="275">
        <f t="shared" si="8"/>
        <v>0</v>
      </c>
      <c r="P57" s="275"/>
      <c r="Q57" s="275"/>
      <c r="R57" s="275">
        <v>30</v>
      </c>
      <c r="S57" s="276">
        <f t="shared" si="15"/>
        <v>0.92540789366391651</v>
      </c>
      <c r="T57" s="276"/>
      <c r="U57" s="276">
        <f t="shared" si="16"/>
        <v>0.9240208371815104</v>
      </c>
      <c r="V57" s="276"/>
      <c r="W57" s="276"/>
      <c r="X57" s="276"/>
      <c r="Y57" s="276">
        <f t="shared" si="20"/>
        <v>1</v>
      </c>
    </row>
    <row r="58" spans="1:25" ht="15.95" customHeight="1">
      <c r="A58" s="273" t="s">
        <v>310</v>
      </c>
      <c r="B58" s="274" t="s">
        <v>279</v>
      </c>
      <c r="C58" s="275">
        <f t="shared" si="9"/>
        <v>8147.4052700000002</v>
      </c>
      <c r="D58" s="275"/>
      <c r="E58" s="275">
        <v>7789.5640000000003</v>
      </c>
      <c r="F58" s="275"/>
      <c r="G58" s="275">
        <f t="shared" si="5"/>
        <v>0</v>
      </c>
      <c r="H58" s="275"/>
      <c r="I58" s="275"/>
      <c r="J58" s="275">
        <v>357.84127000000001</v>
      </c>
      <c r="K58" s="275">
        <f t="shared" ref="K58:K108" si="21">L58+M58+O58+R58</f>
        <v>7960.835572</v>
      </c>
      <c r="L58" s="275"/>
      <c r="M58" s="275">
        <v>7602.9943020000001</v>
      </c>
      <c r="N58" s="275"/>
      <c r="O58" s="275">
        <f t="shared" si="8"/>
        <v>0</v>
      </c>
      <c r="P58" s="275"/>
      <c r="Q58" s="275"/>
      <c r="R58" s="275">
        <v>357.84127000000001</v>
      </c>
      <c r="S58" s="276">
        <f t="shared" si="15"/>
        <v>0.97710072203146947</v>
      </c>
      <c r="T58" s="276"/>
      <c r="U58" s="276">
        <f t="shared" si="16"/>
        <v>0.97604876242110594</v>
      </c>
      <c r="V58" s="276"/>
      <c r="W58" s="276"/>
      <c r="X58" s="276"/>
      <c r="Y58" s="276">
        <f t="shared" si="20"/>
        <v>1</v>
      </c>
    </row>
    <row r="59" spans="1:25" ht="15.95" customHeight="1">
      <c r="A59" s="273" t="s">
        <v>311</v>
      </c>
      <c r="B59" s="274" t="s">
        <v>280</v>
      </c>
      <c r="C59" s="275">
        <f t="shared" si="9"/>
        <v>4494.5358689999994</v>
      </c>
      <c r="D59" s="275"/>
      <c r="E59" s="275">
        <v>3652.9009999999998</v>
      </c>
      <c r="F59" s="275"/>
      <c r="G59" s="275">
        <f t="shared" si="5"/>
        <v>0</v>
      </c>
      <c r="H59" s="275"/>
      <c r="I59" s="275"/>
      <c r="J59" s="275">
        <v>841.63486899999998</v>
      </c>
      <c r="K59" s="275">
        <f t="shared" si="21"/>
        <v>4288.5033519999997</v>
      </c>
      <c r="L59" s="275"/>
      <c r="M59" s="275">
        <v>3446.1581759999999</v>
      </c>
      <c r="N59" s="275"/>
      <c r="O59" s="275">
        <f t="shared" si="8"/>
        <v>0</v>
      </c>
      <c r="P59" s="275"/>
      <c r="Q59" s="275"/>
      <c r="R59" s="275">
        <v>842.34517600000004</v>
      </c>
      <c r="S59" s="276">
        <f t="shared" si="15"/>
        <v>0.95415933413257192</v>
      </c>
      <c r="T59" s="276"/>
      <c r="U59" s="276">
        <f t="shared" si="16"/>
        <v>0.94340311330638305</v>
      </c>
      <c r="V59" s="276"/>
      <c r="W59" s="276"/>
      <c r="X59" s="276"/>
      <c r="Y59" s="276">
        <f t="shared" si="20"/>
        <v>1.000843960993256</v>
      </c>
    </row>
    <row r="60" spans="1:25" ht="15.95" customHeight="1">
      <c r="A60" s="273" t="s">
        <v>312</v>
      </c>
      <c r="B60" s="274" t="s">
        <v>281</v>
      </c>
      <c r="C60" s="275">
        <f t="shared" si="9"/>
        <v>2935.4683920000002</v>
      </c>
      <c r="D60" s="275"/>
      <c r="E60" s="275">
        <v>2586.9720000000002</v>
      </c>
      <c r="F60" s="275"/>
      <c r="G60" s="275">
        <f t="shared" si="5"/>
        <v>0</v>
      </c>
      <c r="H60" s="275"/>
      <c r="I60" s="275"/>
      <c r="J60" s="275">
        <v>348.49639200000001</v>
      </c>
      <c r="K60" s="275">
        <f t="shared" si="21"/>
        <v>2727.5654460000001</v>
      </c>
      <c r="L60" s="275"/>
      <c r="M60" s="275">
        <v>2422.8750540000001</v>
      </c>
      <c r="N60" s="275"/>
      <c r="O60" s="275">
        <f t="shared" si="8"/>
        <v>0</v>
      </c>
      <c r="P60" s="275"/>
      <c r="Q60" s="275"/>
      <c r="R60" s="275">
        <v>304.69039199999997</v>
      </c>
      <c r="S60" s="276">
        <f t="shared" si="15"/>
        <v>0.92917554603326824</v>
      </c>
      <c r="T60" s="276"/>
      <c r="U60" s="276">
        <f t="shared" si="16"/>
        <v>0.93656794661867226</v>
      </c>
      <c r="V60" s="276"/>
      <c r="W60" s="276"/>
      <c r="X60" s="276"/>
      <c r="Y60" s="276">
        <f t="shared" si="20"/>
        <v>0.87429998988339586</v>
      </c>
    </row>
    <row r="61" spans="1:25" ht="15.95" customHeight="1">
      <c r="A61" s="273" t="s">
        <v>313</v>
      </c>
      <c r="B61" s="274" t="s">
        <v>282</v>
      </c>
      <c r="C61" s="275">
        <f t="shared" si="9"/>
        <v>4404.338068</v>
      </c>
      <c r="D61" s="275"/>
      <c r="E61" s="275">
        <v>3930.1255999999998</v>
      </c>
      <c r="F61" s="275"/>
      <c r="G61" s="275">
        <f t="shared" si="5"/>
        <v>0</v>
      </c>
      <c r="H61" s="275"/>
      <c r="I61" s="275"/>
      <c r="J61" s="275">
        <v>474.212468</v>
      </c>
      <c r="K61" s="275">
        <f t="shared" si="21"/>
        <v>3961.9551509999997</v>
      </c>
      <c r="L61" s="275"/>
      <c r="M61" s="275">
        <v>3603.9278599999998</v>
      </c>
      <c r="N61" s="275"/>
      <c r="O61" s="275">
        <f t="shared" si="8"/>
        <v>0</v>
      </c>
      <c r="P61" s="275"/>
      <c r="Q61" s="275"/>
      <c r="R61" s="275">
        <v>358.02729099999999</v>
      </c>
      <c r="S61" s="276">
        <f t="shared" si="15"/>
        <v>0.89955745672336973</v>
      </c>
      <c r="T61" s="276"/>
      <c r="U61" s="276">
        <f t="shared" si="16"/>
        <v>0.91700068313338379</v>
      </c>
      <c r="V61" s="276"/>
      <c r="W61" s="276"/>
      <c r="X61" s="276"/>
      <c r="Y61" s="276">
        <f t="shared" si="20"/>
        <v>0.75499341573617162</v>
      </c>
    </row>
    <row r="62" spans="1:25" ht="15.95" customHeight="1">
      <c r="A62" s="273" t="s">
        <v>314</v>
      </c>
      <c r="B62" s="274" t="s">
        <v>283</v>
      </c>
      <c r="C62" s="275">
        <f t="shared" si="9"/>
        <v>4022.344411</v>
      </c>
      <c r="D62" s="275"/>
      <c r="E62" s="275">
        <v>3947.6370000000002</v>
      </c>
      <c r="F62" s="275"/>
      <c r="G62" s="275">
        <f t="shared" si="5"/>
        <v>0</v>
      </c>
      <c r="H62" s="275"/>
      <c r="I62" s="275"/>
      <c r="J62" s="275">
        <v>74.707410999999993</v>
      </c>
      <c r="K62" s="275">
        <f t="shared" si="21"/>
        <v>3839.1520259999998</v>
      </c>
      <c r="L62" s="275"/>
      <c r="M62" s="275">
        <v>3744.0638819999999</v>
      </c>
      <c r="N62" s="275"/>
      <c r="O62" s="275">
        <f t="shared" si="8"/>
        <v>0</v>
      </c>
      <c r="P62" s="275"/>
      <c r="Q62" s="275"/>
      <c r="R62" s="275">
        <v>95.088144</v>
      </c>
      <c r="S62" s="276">
        <f t="shared" si="15"/>
        <v>0.95445631545150145</v>
      </c>
      <c r="T62" s="276"/>
      <c r="U62" s="276">
        <f t="shared" si="16"/>
        <v>0.94843165215038761</v>
      </c>
      <c r="V62" s="276"/>
      <c r="W62" s="276"/>
      <c r="X62" s="276"/>
      <c r="Y62" s="276">
        <f t="shared" si="20"/>
        <v>1.2728073791768799</v>
      </c>
    </row>
    <row r="63" spans="1:25" ht="15.95" customHeight="1">
      <c r="A63" s="273" t="s">
        <v>315</v>
      </c>
      <c r="B63" s="274" t="s">
        <v>284</v>
      </c>
      <c r="C63" s="275">
        <f t="shared" si="9"/>
        <v>6830.8941439999999</v>
      </c>
      <c r="D63" s="275"/>
      <c r="E63" s="275">
        <v>6376.232</v>
      </c>
      <c r="F63" s="275"/>
      <c r="G63" s="275">
        <f t="shared" si="5"/>
        <v>0</v>
      </c>
      <c r="H63" s="275"/>
      <c r="I63" s="275"/>
      <c r="J63" s="275">
        <v>454.66214400000001</v>
      </c>
      <c r="K63" s="275">
        <f t="shared" si="21"/>
        <v>6547.8044719999998</v>
      </c>
      <c r="L63" s="275"/>
      <c r="M63" s="275">
        <v>6093.1423279999999</v>
      </c>
      <c r="N63" s="275"/>
      <c r="O63" s="275">
        <f t="shared" si="8"/>
        <v>0</v>
      </c>
      <c r="P63" s="275"/>
      <c r="Q63" s="275"/>
      <c r="R63" s="275">
        <v>454.66214400000001</v>
      </c>
      <c r="S63" s="276">
        <f t="shared" si="15"/>
        <v>0.95855745001572668</v>
      </c>
      <c r="T63" s="276"/>
      <c r="U63" s="276">
        <f t="shared" si="16"/>
        <v>0.95560235700332108</v>
      </c>
      <c r="V63" s="276"/>
      <c r="W63" s="276"/>
      <c r="X63" s="276"/>
      <c r="Y63" s="276">
        <f t="shared" si="20"/>
        <v>1</v>
      </c>
    </row>
    <row r="64" spans="1:25" ht="15.95" customHeight="1">
      <c r="A64" s="273" t="s">
        <v>316</v>
      </c>
      <c r="B64" s="274" t="s">
        <v>285</v>
      </c>
      <c r="C64" s="275">
        <f t="shared" si="9"/>
        <v>7450.6292130000002</v>
      </c>
      <c r="D64" s="275"/>
      <c r="E64" s="275">
        <v>6701.8360000000002</v>
      </c>
      <c r="F64" s="275"/>
      <c r="G64" s="275">
        <f t="shared" si="5"/>
        <v>0</v>
      </c>
      <c r="H64" s="275"/>
      <c r="I64" s="275"/>
      <c r="J64" s="275">
        <v>748.79321300000004</v>
      </c>
      <c r="K64" s="275">
        <f t="shared" si="21"/>
        <v>7131.1205650000002</v>
      </c>
      <c r="L64" s="275"/>
      <c r="M64" s="275">
        <v>6457.915352</v>
      </c>
      <c r="N64" s="275"/>
      <c r="O64" s="275">
        <f t="shared" si="8"/>
        <v>0</v>
      </c>
      <c r="P64" s="275"/>
      <c r="Q64" s="275"/>
      <c r="R64" s="275">
        <v>673.20521299999996</v>
      </c>
      <c r="S64" s="276">
        <f t="shared" si="15"/>
        <v>0.95711655500953996</v>
      </c>
      <c r="T64" s="276"/>
      <c r="U64" s="276">
        <f t="shared" si="16"/>
        <v>0.96360390675032925</v>
      </c>
      <c r="V64" s="276"/>
      <c r="W64" s="276"/>
      <c r="X64" s="276"/>
      <c r="Y64" s="276">
        <f t="shared" si="20"/>
        <v>0.89905357221767435</v>
      </c>
    </row>
    <row r="65" spans="1:25" ht="15.95" customHeight="1">
      <c r="A65" s="273" t="s">
        <v>317</v>
      </c>
      <c r="B65" s="274" t="s">
        <v>286</v>
      </c>
      <c r="C65" s="275">
        <f t="shared" si="9"/>
        <v>8643.4205300000012</v>
      </c>
      <c r="D65" s="275"/>
      <c r="E65" s="275">
        <v>8496.3056300000007</v>
      </c>
      <c r="F65" s="275"/>
      <c r="G65" s="275">
        <f t="shared" si="5"/>
        <v>0</v>
      </c>
      <c r="H65" s="275"/>
      <c r="I65" s="275"/>
      <c r="J65" s="275">
        <v>147.11490000000001</v>
      </c>
      <c r="K65" s="275">
        <f t="shared" si="21"/>
        <v>8606.621443</v>
      </c>
      <c r="L65" s="275"/>
      <c r="M65" s="275">
        <v>8467.0815729999995</v>
      </c>
      <c r="N65" s="275"/>
      <c r="O65" s="275">
        <f t="shared" si="8"/>
        <v>0</v>
      </c>
      <c r="P65" s="275"/>
      <c r="Q65" s="275"/>
      <c r="R65" s="275">
        <v>139.53987000000001</v>
      </c>
      <c r="S65" s="276">
        <f t="shared" si="15"/>
        <v>0.99574253192098228</v>
      </c>
      <c r="T65" s="276"/>
      <c r="U65" s="276">
        <f t="shared" si="16"/>
        <v>0.99656038067924335</v>
      </c>
      <c r="V65" s="276"/>
      <c r="W65" s="276"/>
      <c r="X65" s="276"/>
      <c r="Y65" s="276">
        <f t="shared" si="20"/>
        <v>0.94850943038400604</v>
      </c>
    </row>
    <row r="66" spans="1:25" ht="15.95" customHeight="1">
      <c r="A66" s="273" t="s">
        <v>395</v>
      </c>
      <c r="B66" s="274" t="s">
        <v>287</v>
      </c>
      <c r="C66" s="275">
        <f t="shared" si="9"/>
        <v>7237.5086549999996</v>
      </c>
      <c r="D66" s="275"/>
      <c r="E66" s="275">
        <v>5866.2749999999996</v>
      </c>
      <c r="F66" s="275"/>
      <c r="G66" s="275">
        <f t="shared" si="5"/>
        <v>0</v>
      </c>
      <c r="H66" s="275"/>
      <c r="I66" s="275"/>
      <c r="J66" s="275">
        <v>1371.233655</v>
      </c>
      <c r="K66" s="275">
        <f t="shared" si="21"/>
        <v>7224.4833290000006</v>
      </c>
      <c r="L66" s="275"/>
      <c r="M66" s="275">
        <v>5925.4104930000003</v>
      </c>
      <c r="N66" s="275"/>
      <c r="O66" s="275">
        <f t="shared" si="8"/>
        <v>0</v>
      </c>
      <c r="P66" s="275"/>
      <c r="Q66" s="275"/>
      <c r="R66" s="275">
        <v>1299.0728360000001</v>
      </c>
      <c r="S66" s="276">
        <f t="shared" si="15"/>
        <v>0.99820030253214265</v>
      </c>
      <c r="T66" s="276"/>
      <c r="U66" s="276">
        <f t="shared" si="16"/>
        <v>1.0100805865732514</v>
      </c>
      <c r="V66" s="276"/>
      <c r="W66" s="276"/>
      <c r="X66" s="276"/>
      <c r="Y66" s="276">
        <f t="shared" si="20"/>
        <v>0.94737525677197598</v>
      </c>
    </row>
    <row r="67" spans="1:25" ht="15.95" customHeight="1">
      <c r="A67" s="273" t="s">
        <v>318</v>
      </c>
      <c r="B67" s="274" t="s">
        <v>288</v>
      </c>
      <c r="C67" s="275">
        <f t="shared" si="9"/>
        <v>3851.023944</v>
      </c>
      <c r="D67" s="275"/>
      <c r="E67" s="275">
        <v>3527.1983110000001</v>
      </c>
      <c r="F67" s="275"/>
      <c r="G67" s="275">
        <f t="shared" si="5"/>
        <v>0</v>
      </c>
      <c r="H67" s="275"/>
      <c r="I67" s="275"/>
      <c r="J67" s="275">
        <v>323.82563299999998</v>
      </c>
      <c r="K67" s="275">
        <f t="shared" si="21"/>
        <v>3851.023944</v>
      </c>
      <c r="L67" s="275"/>
      <c r="M67" s="275">
        <v>3851.023944</v>
      </c>
      <c r="N67" s="275"/>
      <c r="O67" s="275">
        <f t="shared" si="8"/>
        <v>0</v>
      </c>
      <c r="P67" s="275"/>
      <c r="Q67" s="275"/>
      <c r="R67" s="275"/>
      <c r="S67" s="276">
        <f t="shared" si="15"/>
        <v>1</v>
      </c>
      <c r="T67" s="276"/>
      <c r="U67" s="276">
        <f t="shared" si="16"/>
        <v>1.0918081730732605</v>
      </c>
      <c r="V67" s="276"/>
      <c r="W67" s="276"/>
      <c r="X67" s="276"/>
      <c r="Y67" s="276">
        <f t="shared" si="20"/>
        <v>0</v>
      </c>
    </row>
    <row r="68" spans="1:25" ht="15.95" customHeight="1">
      <c r="A68" s="273" t="s">
        <v>319</v>
      </c>
      <c r="B68" s="274" t="s">
        <v>289</v>
      </c>
      <c r="C68" s="275">
        <f t="shared" si="9"/>
        <v>6480.2929060000006</v>
      </c>
      <c r="D68" s="275"/>
      <c r="E68" s="275">
        <v>6447.6134000000002</v>
      </c>
      <c r="F68" s="275"/>
      <c r="G68" s="275">
        <f t="shared" si="5"/>
        <v>0</v>
      </c>
      <c r="H68" s="275"/>
      <c r="I68" s="275"/>
      <c r="J68" s="275">
        <v>32.679506000000003</v>
      </c>
      <c r="K68" s="275">
        <f t="shared" si="21"/>
        <v>6427.1236129999998</v>
      </c>
      <c r="L68" s="275"/>
      <c r="M68" s="275">
        <v>6365.560622</v>
      </c>
      <c r="N68" s="275"/>
      <c r="O68" s="275">
        <f t="shared" si="8"/>
        <v>0</v>
      </c>
      <c r="P68" s="275"/>
      <c r="Q68" s="275"/>
      <c r="R68" s="275">
        <v>61.562990999999997</v>
      </c>
      <c r="S68" s="276">
        <f t="shared" si="15"/>
        <v>0.99179523305948525</v>
      </c>
      <c r="T68" s="276"/>
      <c r="U68" s="276">
        <f t="shared" si="16"/>
        <v>0.98727393022664789</v>
      </c>
      <c r="V68" s="276"/>
      <c r="W68" s="276"/>
      <c r="X68" s="276"/>
      <c r="Y68" s="276">
        <f t="shared" si="20"/>
        <v>1.8838409307655994</v>
      </c>
    </row>
    <row r="69" spans="1:25" ht="15.95" customHeight="1">
      <c r="A69" s="273" t="s">
        <v>396</v>
      </c>
      <c r="B69" s="274" t="s">
        <v>290</v>
      </c>
      <c r="C69" s="275">
        <f t="shared" si="9"/>
        <v>14020.395078</v>
      </c>
      <c r="D69" s="275"/>
      <c r="E69" s="275">
        <v>13886.285</v>
      </c>
      <c r="F69" s="275"/>
      <c r="G69" s="275">
        <f t="shared" si="5"/>
        <v>0</v>
      </c>
      <c r="H69" s="275"/>
      <c r="I69" s="275"/>
      <c r="J69" s="275">
        <v>134.11007799999999</v>
      </c>
      <c r="K69" s="275">
        <f t="shared" si="21"/>
        <v>13962.368640000001</v>
      </c>
      <c r="L69" s="275"/>
      <c r="M69" s="275">
        <v>13868.812043</v>
      </c>
      <c r="N69" s="275"/>
      <c r="O69" s="275">
        <f t="shared" si="8"/>
        <v>0</v>
      </c>
      <c r="P69" s="275"/>
      <c r="Q69" s="275"/>
      <c r="R69" s="275">
        <v>93.556596999999996</v>
      </c>
      <c r="S69" s="276">
        <f t="shared" si="15"/>
        <v>0.99586128367444859</v>
      </c>
      <c r="T69" s="276"/>
      <c r="U69" s="276">
        <f t="shared" si="16"/>
        <v>0.99874171119201427</v>
      </c>
      <c r="V69" s="276"/>
      <c r="W69" s="276"/>
      <c r="X69" s="276"/>
      <c r="Y69" s="276">
        <f t="shared" si="20"/>
        <v>0.69761048830349648</v>
      </c>
    </row>
    <row r="70" spans="1:25" ht="15.95" customHeight="1">
      <c r="A70" s="273" t="s">
        <v>320</v>
      </c>
      <c r="B70" s="274" t="s">
        <v>291</v>
      </c>
      <c r="C70" s="275">
        <f t="shared" si="9"/>
        <v>8715.0352039999998</v>
      </c>
      <c r="D70" s="275"/>
      <c r="E70" s="275">
        <v>8629.2469999999994</v>
      </c>
      <c r="F70" s="275"/>
      <c r="G70" s="275">
        <f t="shared" si="5"/>
        <v>0</v>
      </c>
      <c r="H70" s="275"/>
      <c r="I70" s="275"/>
      <c r="J70" s="275">
        <v>85.788203999999993</v>
      </c>
      <c r="K70" s="275">
        <f t="shared" si="21"/>
        <v>8614.9170910000012</v>
      </c>
      <c r="L70" s="275"/>
      <c r="M70" s="275">
        <v>8480.4024270000009</v>
      </c>
      <c r="N70" s="275"/>
      <c r="O70" s="275">
        <f t="shared" si="8"/>
        <v>0</v>
      </c>
      <c r="P70" s="275"/>
      <c r="Q70" s="275"/>
      <c r="R70" s="275">
        <v>134.51466400000001</v>
      </c>
      <c r="S70" s="276">
        <f t="shared" si="15"/>
        <v>0.98851202425963269</v>
      </c>
      <c r="T70" s="276"/>
      <c r="U70" s="276">
        <f t="shared" si="16"/>
        <v>0.9827511516358266</v>
      </c>
      <c r="V70" s="276"/>
      <c r="W70" s="276"/>
      <c r="X70" s="276"/>
      <c r="Y70" s="276">
        <f t="shared" si="20"/>
        <v>1.5679855472903945</v>
      </c>
    </row>
    <row r="71" spans="1:25" ht="15.95" customHeight="1">
      <c r="A71" s="273" t="s">
        <v>321</v>
      </c>
      <c r="B71" s="274" t="s">
        <v>292</v>
      </c>
      <c r="C71" s="275">
        <f t="shared" si="9"/>
        <v>6608.5014039999996</v>
      </c>
      <c r="D71" s="275"/>
      <c r="E71" s="275">
        <v>6523.5766999999996</v>
      </c>
      <c r="F71" s="275"/>
      <c r="G71" s="275">
        <f t="shared" si="5"/>
        <v>0</v>
      </c>
      <c r="H71" s="275"/>
      <c r="I71" s="275"/>
      <c r="J71" s="275">
        <v>84.924704000000006</v>
      </c>
      <c r="K71" s="275">
        <f t="shared" si="21"/>
        <v>6600.4278019999992</v>
      </c>
      <c r="L71" s="275"/>
      <c r="M71" s="275">
        <v>6576.7058829999996</v>
      </c>
      <c r="N71" s="275"/>
      <c r="O71" s="275">
        <f t="shared" si="8"/>
        <v>0</v>
      </c>
      <c r="P71" s="275"/>
      <c r="Q71" s="275"/>
      <c r="R71" s="275">
        <v>23.721919</v>
      </c>
      <c r="S71" s="276">
        <f t="shared" si="15"/>
        <v>0.99877830063028905</v>
      </c>
      <c r="T71" s="276"/>
      <c r="U71" s="276">
        <f t="shared" si="16"/>
        <v>1.0081441800170756</v>
      </c>
      <c r="V71" s="276"/>
      <c r="W71" s="276"/>
      <c r="X71" s="276"/>
      <c r="Y71" s="276">
        <f t="shared" si="20"/>
        <v>0.27932883934455632</v>
      </c>
    </row>
    <row r="72" spans="1:25" ht="15.95" customHeight="1">
      <c r="A72" s="273" t="s">
        <v>322</v>
      </c>
      <c r="B72" s="274" t="s">
        <v>293</v>
      </c>
      <c r="C72" s="275">
        <f t="shared" si="9"/>
        <v>10458.290537000001</v>
      </c>
      <c r="D72" s="275"/>
      <c r="E72" s="275">
        <v>10013.242</v>
      </c>
      <c r="F72" s="275"/>
      <c r="G72" s="275">
        <f t="shared" si="5"/>
        <v>0</v>
      </c>
      <c r="H72" s="275"/>
      <c r="I72" s="275"/>
      <c r="J72" s="275">
        <v>445.04853700000001</v>
      </c>
      <c r="K72" s="275">
        <f t="shared" si="21"/>
        <v>10335.153612</v>
      </c>
      <c r="L72" s="275"/>
      <c r="M72" s="275">
        <v>9870.1050749999995</v>
      </c>
      <c r="N72" s="275"/>
      <c r="O72" s="275">
        <f t="shared" ref="O72:O111" si="22">P72+Q72</f>
        <v>0</v>
      </c>
      <c r="P72" s="275"/>
      <c r="Q72" s="275"/>
      <c r="R72" s="275">
        <v>465.04853700000001</v>
      </c>
      <c r="S72" s="276">
        <f t="shared" si="15"/>
        <v>0.98822590321388004</v>
      </c>
      <c r="T72" s="276"/>
      <c r="U72" s="276">
        <f t="shared" si="16"/>
        <v>0.98570523662566023</v>
      </c>
      <c r="V72" s="276"/>
      <c r="W72" s="276"/>
      <c r="X72" s="276"/>
      <c r="Y72" s="276">
        <f t="shared" si="20"/>
        <v>1.0449389186510234</v>
      </c>
    </row>
    <row r="73" spans="1:25" ht="15.95" customHeight="1">
      <c r="A73" s="273" t="s">
        <v>323</v>
      </c>
      <c r="B73" s="274" t="s">
        <v>390</v>
      </c>
      <c r="C73" s="275">
        <f t="shared" si="9"/>
        <v>10904.022442000001</v>
      </c>
      <c r="D73" s="275"/>
      <c r="E73" s="275">
        <v>10892.378000000001</v>
      </c>
      <c r="F73" s="275"/>
      <c r="G73" s="275">
        <f t="shared" si="5"/>
        <v>0</v>
      </c>
      <c r="H73" s="275"/>
      <c r="I73" s="275"/>
      <c r="J73" s="275">
        <v>11.644442</v>
      </c>
      <c r="K73" s="275">
        <f t="shared" si="21"/>
        <v>10746.684486</v>
      </c>
      <c r="L73" s="275"/>
      <c r="M73" s="275">
        <v>10714.892188</v>
      </c>
      <c r="N73" s="275"/>
      <c r="O73" s="275">
        <f t="shared" si="22"/>
        <v>0</v>
      </c>
      <c r="P73" s="275"/>
      <c r="Q73" s="275"/>
      <c r="R73" s="275">
        <v>31.792297999999999</v>
      </c>
      <c r="S73" s="276">
        <f t="shared" si="15"/>
        <v>0.98557065002049438</v>
      </c>
      <c r="T73" s="276"/>
      <c r="U73" s="276">
        <f t="shared" si="16"/>
        <v>0.98370550379357002</v>
      </c>
      <c r="V73" s="276"/>
      <c r="W73" s="276"/>
      <c r="X73" s="276"/>
      <c r="Y73" s="276">
        <f t="shared" si="20"/>
        <v>2.7302551723818111</v>
      </c>
    </row>
    <row r="74" spans="1:25" ht="15.95" customHeight="1">
      <c r="A74" s="273" t="s">
        <v>324</v>
      </c>
      <c r="B74" s="274" t="s">
        <v>458</v>
      </c>
      <c r="C74" s="275">
        <f t="shared" si="9"/>
        <v>10628.068129000001</v>
      </c>
      <c r="D74" s="275"/>
      <c r="E74" s="275">
        <v>10547.684800000001</v>
      </c>
      <c r="F74" s="275"/>
      <c r="G74" s="275">
        <f t="shared" si="5"/>
        <v>0</v>
      </c>
      <c r="H74" s="275"/>
      <c r="I74" s="275"/>
      <c r="J74" s="275">
        <v>80.383329000000003</v>
      </c>
      <c r="K74" s="275">
        <f t="shared" si="21"/>
        <v>10144.462801</v>
      </c>
      <c r="L74" s="275"/>
      <c r="M74" s="275">
        <v>10111.821924</v>
      </c>
      <c r="N74" s="275"/>
      <c r="O74" s="275">
        <f t="shared" si="22"/>
        <v>0</v>
      </c>
      <c r="P74" s="275"/>
      <c r="Q74" s="275"/>
      <c r="R74" s="275">
        <v>32.640877000000003</v>
      </c>
      <c r="S74" s="276">
        <f t="shared" si="15"/>
        <v>0.95449734400173591</v>
      </c>
      <c r="T74" s="276"/>
      <c r="U74" s="276">
        <f t="shared" si="16"/>
        <v>0.95867691495673046</v>
      </c>
      <c r="V74" s="276"/>
      <c r="W74" s="276"/>
      <c r="X74" s="276"/>
      <c r="Y74" s="276">
        <f t="shared" si="20"/>
        <v>0.40606525514761899</v>
      </c>
    </row>
    <row r="75" spans="1:25" ht="15.95" customHeight="1">
      <c r="A75" s="273" t="s">
        <v>325</v>
      </c>
      <c r="B75" s="274" t="s">
        <v>404</v>
      </c>
      <c r="C75" s="275">
        <f t="shared" si="9"/>
        <v>7029.0925649999999</v>
      </c>
      <c r="D75" s="275"/>
      <c r="E75" s="275">
        <v>6860.6877500000001</v>
      </c>
      <c r="F75" s="275"/>
      <c r="G75" s="275">
        <f t="shared" si="5"/>
        <v>0</v>
      </c>
      <c r="H75" s="275"/>
      <c r="I75" s="275"/>
      <c r="J75" s="275">
        <v>168.40481500000001</v>
      </c>
      <c r="K75" s="275">
        <f t="shared" si="21"/>
        <v>6906.1967530000002</v>
      </c>
      <c r="L75" s="275"/>
      <c r="M75" s="275">
        <v>6717.7919380000003</v>
      </c>
      <c r="N75" s="275"/>
      <c r="O75" s="275">
        <f t="shared" si="22"/>
        <v>0</v>
      </c>
      <c r="P75" s="275"/>
      <c r="Q75" s="275"/>
      <c r="R75" s="275">
        <v>188.40481500000001</v>
      </c>
      <c r="S75" s="276">
        <f t="shared" si="15"/>
        <v>0.98251611984569165</v>
      </c>
      <c r="T75" s="276"/>
      <c r="U75" s="276">
        <f t="shared" si="16"/>
        <v>0.97917179483937311</v>
      </c>
      <c r="V75" s="276"/>
      <c r="W75" s="276"/>
      <c r="X75" s="276"/>
      <c r="Y75" s="276">
        <f t="shared" si="20"/>
        <v>1.1187614499027241</v>
      </c>
    </row>
    <row r="76" spans="1:25" ht="15.95" customHeight="1">
      <c r="A76" s="273" t="s">
        <v>326</v>
      </c>
      <c r="B76" s="274" t="s">
        <v>294</v>
      </c>
      <c r="C76" s="275">
        <f t="shared" si="9"/>
        <v>8422.0414710000005</v>
      </c>
      <c r="D76" s="275"/>
      <c r="E76" s="275">
        <v>8360.6659</v>
      </c>
      <c r="F76" s="275"/>
      <c r="G76" s="275">
        <f t="shared" ref="G76:G98" si="23">SUM(H76:I76)</f>
        <v>0</v>
      </c>
      <c r="H76" s="275"/>
      <c r="I76" s="275"/>
      <c r="J76" s="275">
        <v>61.375571000000001</v>
      </c>
      <c r="K76" s="275">
        <f t="shared" si="21"/>
        <v>8245.3426880000006</v>
      </c>
      <c r="L76" s="275"/>
      <c r="M76" s="275">
        <v>8209.2943020000002</v>
      </c>
      <c r="N76" s="275"/>
      <c r="O76" s="275">
        <f t="shared" si="22"/>
        <v>0</v>
      </c>
      <c r="P76" s="275"/>
      <c r="Q76" s="275"/>
      <c r="R76" s="275">
        <v>36.048386000000001</v>
      </c>
      <c r="S76" s="276">
        <f t="shared" ref="S76:S112" si="24">K76/C76</f>
        <v>0.97901948314925369</v>
      </c>
      <c r="T76" s="276"/>
      <c r="U76" s="276">
        <f t="shared" ref="U76:U108" si="25">M76/E76</f>
        <v>0.98189479165768367</v>
      </c>
      <c r="V76" s="276"/>
      <c r="W76" s="276"/>
      <c r="X76" s="276"/>
      <c r="Y76" s="276">
        <f t="shared" si="20"/>
        <v>0.58734094710092388</v>
      </c>
    </row>
    <row r="77" spans="1:25" ht="15.95" customHeight="1">
      <c r="A77" s="273" t="s">
        <v>327</v>
      </c>
      <c r="B77" s="274" t="s">
        <v>391</v>
      </c>
      <c r="C77" s="275">
        <f t="shared" ref="C77:C112" si="26">D77+E77+F77+G77+J77</f>
        <v>6381.701959</v>
      </c>
      <c r="D77" s="275"/>
      <c r="E77" s="275">
        <v>6379.6391999999996</v>
      </c>
      <c r="F77" s="275"/>
      <c r="G77" s="275">
        <f t="shared" si="23"/>
        <v>0</v>
      </c>
      <c r="H77" s="275"/>
      <c r="I77" s="275"/>
      <c r="J77" s="275">
        <v>2.0627589999999998</v>
      </c>
      <c r="K77" s="275">
        <f t="shared" si="21"/>
        <v>6379.8442700000005</v>
      </c>
      <c r="L77" s="275"/>
      <c r="M77" s="275">
        <v>6357.5137720000002</v>
      </c>
      <c r="N77" s="275"/>
      <c r="O77" s="275">
        <f t="shared" si="22"/>
        <v>0</v>
      </c>
      <c r="P77" s="275"/>
      <c r="Q77" s="275"/>
      <c r="R77" s="275">
        <v>22.330497999999999</v>
      </c>
      <c r="S77" s="276">
        <f t="shared" si="24"/>
        <v>0.99970890382974098</v>
      </c>
      <c r="T77" s="276"/>
      <c r="U77" s="276">
        <f t="shared" si="25"/>
        <v>0.9965318684479838</v>
      </c>
      <c r="V77" s="276"/>
      <c r="W77" s="276"/>
      <c r="X77" s="276"/>
      <c r="Y77" s="276">
        <f t="shared" si="20"/>
        <v>10.825548694733607</v>
      </c>
    </row>
    <row r="78" spans="1:25" ht="15.95" customHeight="1">
      <c r="A78" s="273" t="s">
        <v>328</v>
      </c>
      <c r="B78" s="274" t="s">
        <v>533</v>
      </c>
      <c r="C78" s="275">
        <f t="shared" si="26"/>
        <v>7619.1345549999996</v>
      </c>
      <c r="D78" s="275"/>
      <c r="E78" s="275">
        <v>7612.5416789999999</v>
      </c>
      <c r="F78" s="275"/>
      <c r="G78" s="275">
        <f t="shared" si="23"/>
        <v>0</v>
      </c>
      <c r="H78" s="275"/>
      <c r="I78" s="275"/>
      <c r="J78" s="275">
        <v>6.5928760000000004</v>
      </c>
      <c r="K78" s="275">
        <f t="shared" si="21"/>
        <v>7488.359555</v>
      </c>
      <c r="L78" s="275"/>
      <c r="M78" s="275">
        <v>7221.1232019999998</v>
      </c>
      <c r="N78" s="275"/>
      <c r="O78" s="275">
        <f t="shared" si="22"/>
        <v>0</v>
      </c>
      <c r="P78" s="275"/>
      <c r="Q78" s="275"/>
      <c r="R78" s="275">
        <v>267.23635300000001</v>
      </c>
      <c r="S78" s="276">
        <f t="shared" si="24"/>
        <v>0.98283597709740145</v>
      </c>
      <c r="T78" s="276"/>
      <c r="U78" s="276">
        <f t="shared" si="25"/>
        <v>0.94858241918336295</v>
      </c>
      <c r="V78" s="276"/>
      <c r="W78" s="276"/>
      <c r="X78" s="276"/>
      <c r="Y78" s="276">
        <f t="shared" si="20"/>
        <v>40.534108786514409</v>
      </c>
    </row>
    <row r="79" spans="1:25" ht="15.95" customHeight="1">
      <c r="A79" s="273" t="s">
        <v>329</v>
      </c>
      <c r="B79" s="274" t="s">
        <v>457</v>
      </c>
      <c r="C79" s="275">
        <f t="shared" si="26"/>
        <v>10758.443137</v>
      </c>
      <c r="D79" s="275"/>
      <c r="E79" s="275">
        <v>10306.9915</v>
      </c>
      <c r="F79" s="275"/>
      <c r="G79" s="275">
        <f t="shared" si="23"/>
        <v>0</v>
      </c>
      <c r="H79" s="275"/>
      <c r="I79" s="275"/>
      <c r="J79" s="275">
        <v>451.45163700000001</v>
      </c>
      <c r="K79" s="275">
        <f t="shared" si="21"/>
        <v>10698.879681</v>
      </c>
      <c r="L79" s="275"/>
      <c r="M79" s="275">
        <v>10351.132544</v>
      </c>
      <c r="N79" s="275"/>
      <c r="O79" s="275">
        <f t="shared" si="22"/>
        <v>0</v>
      </c>
      <c r="P79" s="275"/>
      <c r="Q79" s="275"/>
      <c r="R79" s="275">
        <v>347.74713700000001</v>
      </c>
      <c r="S79" s="276">
        <f t="shared" si="24"/>
        <v>0.99446356175875006</v>
      </c>
      <c r="T79" s="276"/>
      <c r="U79" s="276">
        <f t="shared" si="25"/>
        <v>1.004282631260538</v>
      </c>
      <c r="V79" s="276"/>
      <c r="W79" s="276"/>
      <c r="X79" s="276"/>
      <c r="Y79" s="276">
        <f t="shared" si="20"/>
        <v>0.77028657889217045</v>
      </c>
    </row>
    <row r="80" spans="1:25" ht="15.95" customHeight="1">
      <c r="A80" s="273" t="s">
        <v>330</v>
      </c>
      <c r="B80" s="274" t="s">
        <v>295</v>
      </c>
      <c r="C80" s="275">
        <f t="shared" si="26"/>
        <v>5711.1803199999995</v>
      </c>
      <c r="D80" s="275"/>
      <c r="E80" s="275">
        <v>4525.3019999999997</v>
      </c>
      <c r="F80" s="275"/>
      <c r="G80" s="275">
        <f t="shared" si="23"/>
        <v>0</v>
      </c>
      <c r="H80" s="275"/>
      <c r="I80" s="275"/>
      <c r="J80" s="275">
        <v>1185.87832</v>
      </c>
      <c r="K80" s="275">
        <f t="shared" si="21"/>
        <v>5599.0009949999994</v>
      </c>
      <c r="L80" s="275"/>
      <c r="M80" s="275">
        <v>4389.6498009999996</v>
      </c>
      <c r="N80" s="275"/>
      <c r="O80" s="275">
        <f t="shared" si="22"/>
        <v>0</v>
      </c>
      <c r="P80" s="275"/>
      <c r="Q80" s="275"/>
      <c r="R80" s="275">
        <v>1209.3511940000001</v>
      </c>
      <c r="S80" s="276">
        <f t="shared" si="24"/>
        <v>0.98035794376739271</v>
      </c>
      <c r="T80" s="276"/>
      <c r="U80" s="276">
        <f t="shared" si="25"/>
        <v>0.97002361411459392</v>
      </c>
      <c r="V80" s="276"/>
      <c r="W80" s="276"/>
      <c r="X80" s="276"/>
      <c r="Y80" s="276">
        <f t="shared" si="20"/>
        <v>1.0197936614609837</v>
      </c>
    </row>
    <row r="81" spans="1:25" ht="15.95" customHeight="1">
      <c r="A81" s="273" t="s">
        <v>331</v>
      </c>
      <c r="B81" s="274" t="s">
        <v>296</v>
      </c>
      <c r="C81" s="275">
        <f t="shared" si="26"/>
        <v>4413.5958799999999</v>
      </c>
      <c r="D81" s="275"/>
      <c r="E81" s="275">
        <v>4405.9210000000003</v>
      </c>
      <c r="F81" s="275"/>
      <c r="G81" s="275">
        <f t="shared" si="23"/>
        <v>0</v>
      </c>
      <c r="H81" s="275"/>
      <c r="I81" s="275"/>
      <c r="J81" s="275">
        <v>7.6748799999999999</v>
      </c>
      <c r="K81" s="275">
        <f t="shared" si="21"/>
        <v>4364.0195539999995</v>
      </c>
      <c r="L81" s="275"/>
      <c r="M81" s="275">
        <v>4332.5890799999997</v>
      </c>
      <c r="N81" s="275"/>
      <c r="O81" s="275">
        <f t="shared" si="22"/>
        <v>0</v>
      </c>
      <c r="P81" s="275"/>
      <c r="Q81" s="275"/>
      <c r="R81" s="275">
        <v>31.430474</v>
      </c>
      <c r="S81" s="276">
        <f t="shared" si="24"/>
        <v>0.98876736172773472</v>
      </c>
      <c r="T81" s="276"/>
      <c r="U81" s="276">
        <f t="shared" si="25"/>
        <v>0.98335605200365583</v>
      </c>
      <c r="V81" s="276"/>
      <c r="W81" s="276"/>
      <c r="X81" s="276"/>
      <c r="Y81" s="276">
        <f t="shared" si="20"/>
        <v>4.0952397952801869</v>
      </c>
    </row>
    <row r="82" spans="1:25" ht="15.95" customHeight="1">
      <c r="A82" s="273" t="s">
        <v>332</v>
      </c>
      <c r="B82" s="274" t="s">
        <v>392</v>
      </c>
      <c r="C82" s="275">
        <f t="shared" si="26"/>
        <v>6992.977167</v>
      </c>
      <c r="D82" s="275"/>
      <c r="E82" s="275">
        <v>6783.5259999999998</v>
      </c>
      <c r="F82" s="275"/>
      <c r="G82" s="275">
        <f t="shared" si="23"/>
        <v>0</v>
      </c>
      <c r="H82" s="275"/>
      <c r="I82" s="275"/>
      <c r="J82" s="275">
        <v>209.451167</v>
      </c>
      <c r="K82" s="275">
        <f t="shared" si="21"/>
        <v>6802.0559680000006</v>
      </c>
      <c r="L82" s="275"/>
      <c r="M82" s="275">
        <v>6606.9828010000001</v>
      </c>
      <c r="N82" s="275"/>
      <c r="O82" s="275">
        <f t="shared" si="22"/>
        <v>0</v>
      </c>
      <c r="P82" s="275"/>
      <c r="Q82" s="275"/>
      <c r="R82" s="275">
        <v>195.07316700000001</v>
      </c>
      <c r="S82" s="276">
        <f t="shared" si="24"/>
        <v>0.97269815209736987</v>
      </c>
      <c r="T82" s="276"/>
      <c r="U82" s="276">
        <f t="shared" si="25"/>
        <v>0.97397471477222908</v>
      </c>
      <c r="V82" s="276"/>
      <c r="W82" s="276"/>
      <c r="X82" s="276"/>
      <c r="Y82" s="276">
        <f t="shared" si="20"/>
        <v>0.93135392747656554</v>
      </c>
    </row>
    <row r="83" spans="1:25" ht="15.95" customHeight="1">
      <c r="A83" s="273" t="s">
        <v>333</v>
      </c>
      <c r="B83" s="274" t="s">
        <v>297</v>
      </c>
      <c r="C83" s="275">
        <f t="shared" si="26"/>
        <v>12167.333968000001</v>
      </c>
      <c r="D83" s="275"/>
      <c r="E83" s="275">
        <v>11939.786</v>
      </c>
      <c r="F83" s="275"/>
      <c r="G83" s="275">
        <f t="shared" si="23"/>
        <v>0</v>
      </c>
      <c r="H83" s="275"/>
      <c r="I83" s="275"/>
      <c r="J83" s="275">
        <v>227.547968</v>
      </c>
      <c r="K83" s="275">
        <f t="shared" si="21"/>
        <v>11921.945127999999</v>
      </c>
      <c r="L83" s="275"/>
      <c r="M83" s="275">
        <v>11660.594150999999</v>
      </c>
      <c r="N83" s="275"/>
      <c r="O83" s="275">
        <f t="shared" si="22"/>
        <v>0</v>
      </c>
      <c r="P83" s="275"/>
      <c r="Q83" s="275"/>
      <c r="R83" s="275">
        <v>261.350977</v>
      </c>
      <c r="S83" s="276">
        <f t="shared" si="24"/>
        <v>0.9798321603857203</v>
      </c>
      <c r="T83" s="276"/>
      <c r="U83" s="276">
        <f t="shared" si="25"/>
        <v>0.9766166789756533</v>
      </c>
      <c r="V83" s="276"/>
      <c r="W83" s="276"/>
      <c r="X83" s="276"/>
      <c r="Y83" s="276">
        <f t="shared" si="20"/>
        <v>1.148553332719719</v>
      </c>
    </row>
    <row r="84" spans="1:25" ht="15.95" customHeight="1">
      <c r="A84" s="273" t="s">
        <v>334</v>
      </c>
      <c r="B84" s="274" t="s">
        <v>389</v>
      </c>
      <c r="C84" s="275">
        <f t="shared" si="26"/>
        <v>7003.028534</v>
      </c>
      <c r="D84" s="275"/>
      <c r="E84" s="275">
        <v>6980.3509999999997</v>
      </c>
      <c r="F84" s="275"/>
      <c r="G84" s="275">
        <f t="shared" si="23"/>
        <v>0</v>
      </c>
      <c r="H84" s="275"/>
      <c r="I84" s="275"/>
      <c r="J84" s="275">
        <v>22.677534000000001</v>
      </c>
      <c r="K84" s="275">
        <f t="shared" si="21"/>
        <v>6909.9667980000004</v>
      </c>
      <c r="L84" s="275"/>
      <c r="M84" s="275">
        <v>6887.289264</v>
      </c>
      <c r="N84" s="275"/>
      <c r="O84" s="275">
        <f t="shared" si="22"/>
        <v>0</v>
      </c>
      <c r="P84" s="275"/>
      <c r="Q84" s="275"/>
      <c r="R84" s="275">
        <v>22.677534000000001</v>
      </c>
      <c r="S84" s="276">
        <f t="shared" si="24"/>
        <v>0.98671121564788988</v>
      </c>
      <c r="T84" s="276"/>
      <c r="U84" s="276">
        <f t="shared" si="25"/>
        <v>0.98666804348377324</v>
      </c>
      <c r="V84" s="276"/>
      <c r="W84" s="276"/>
      <c r="X84" s="276"/>
      <c r="Y84" s="276">
        <f t="shared" si="20"/>
        <v>1</v>
      </c>
    </row>
    <row r="85" spans="1:25" ht="15.95" customHeight="1">
      <c r="A85" s="273" t="s">
        <v>335</v>
      </c>
      <c r="B85" s="274" t="s">
        <v>298</v>
      </c>
      <c r="C85" s="275">
        <f t="shared" si="26"/>
        <v>40</v>
      </c>
      <c r="D85" s="275"/>
      <c r="E85" s="275">
        <v>40</v>
      </c>
      <c r="F85" s="275"/>
      <c r="G85" s="275">
        <f t="shared" si="23"/>
        <v>0</v>
      </c>
      <c r="H85" s="275"/>
      <c r="I85" s="275"/>
      <c r="J85" s="275">
        <v>0</v>
      </c>
      <c r="K85" s="275">
        <f t="shared" si="21"/>
        <v>40</v>
      </c>
      <c r="L85" s="275"/>
      <c r="M85" s="275">
        <v>40</v>
      </c>
      <c r="N85" s="275"/>
      <c r="O85" s="275">
        <f t="shared" si="22"/>
        <v>0</v>
      </c>
      <c r="P85" s="275"/>
      <c r="Q85" s="275"/>
      <c r="R85" s="275"/>
      <c r="S85" s="276">
        <f t="shared" si="24"/>
        <v>1</v>
      </c>
      <c r="T85" s="276"/>
      <c r="U85" s="276">
        <f t="shared" si="25"/>
        <v>1</v>
      </c>
      <c r="V85" s="276"/>
      <c r="W85" s="276"/>
      <c r="X85" s="276"/>
      <c r="Y85" s="276"/>
    </row>
    <row r="86" spans="1:25" ht="15.95" customHeight="1">
      <c r="A86" s="273" t="s">
        <v>336</v>
      </c>
      <c r="B86" s="274" t="s">
        <v>405</v>
      </c>
      <c r="C86" s="275">
        <f t="shared" si="26"/>
        <v>40</v>
      </c>
      <c r="D86" s="275"/>
      <c r="E86" s="275">
        <v>40</v>
      </c>
      <c r="F86" s="275"/>
      <c r="G86" s="275">
        <f t="shared" si="23"/>
        <v>0</v>
      </c>
      <c r="H86" s="275"/>
      <c r="I86" s="275"/>
      <c r="J86" s="275">
        <v>0</v>
      </c>
      <c r="K86" s="275">
        <f t="shared" si="21"/>
        <v>40</v>
      </c>
      <c r="L86" s="275"/>
      <c r="M86" s="275">
        <v>40</v>
      </c>
      <c r="N86" s="275"/>
      <c r="O86" s="275">
        <f t="shared" si="22"/>
        <v>0</v>
      </c>
      <c r="P86" s="275"/>
      <c r="Q86" s="275"/>
      <c r="R86" s="275"/>
      <c r="S86" s="276">
        <f t="shared" si="24"/>
        <v>1</v>
      </c>
      <c r="T86" s="276"/>
      <c r="U86" s="276">
        <f t="shared" si="25"/>
        <v>1</v>
      </c>
      <c r="V86" s="276"/>
      <c r="W86" s="276"/>
      <c r="X86" s="276"/>
      <c r="Y86" s="276"/>
    </row>
    <row r="87" spans="1:25" ht="15.95" customHeight="1">
      <c r="A87" s="273" t="s">
        <v>337</v>
      </c>
      <c r="B87" s="274" t="s">
        <v>299</v>
      </c>
      <c r="C87" s="275">
        <f t="shared" si="26"/>
        <v>40</v>
      </c>
      <c r="D87" s="275"/>
      <c r="E87" s="275">
        <v>40</v>
      </c>
      <c r="F87" s="275"/>
      <c r="G87" s="275">
        <f t="shared" si="23"/>
        <v>0</v>
      </c>
      <c r="H87" s="275"/>
      <c r="I87" s="275"/>
      <c r="J87" s="275">
        <v>0</v>
      </c>
      <c r="K87" s="275">
        <f t="shared" si="21"/>
        <v>40</v>
      </c>
      <c r="L87" s="275"/>
      <c r="M87" s="275">
        <v>40</v>
      </c>
      <c r="N87" s="275"/>
      <c r="O87" s="275">
        <f t="shared" si="22"/>
        <v>0</v>
      </c>
      <c r="P87" s="275"/>
      <c r="Q87" s="275"/>
      <c r="R87" s="275"/>
      <c r="S87" s="276">
        <f t="shared" si="24"/>
        <v>1</v>
      </c>
      <c r="T87" s="276"/>
      <c r="U87" s="276">
        <f t="shared" si="25"/>
        <v>1</v>
      </c>
      <c r="V87" s="276"/>
      <c r="W87" s="276"/>
      <c r="X87" s="276"/>
      <c r="Y87" s="276"/>
    </row>
    <row r="88" spans="1:25" ht="15.95" customHeight="1">
      <c r="A88" s="273" t="s">
        <v>338</v>
      </c>
      <c r="B88" s="274" t="s">
        <v>300</v>
      </c>
      <c r="C88" s="275">
        <f t="shared" si="26"/>
        <v>40</v>
      </c>
      <c r="D88" s="275"/>
      <c r="E88" s="275">
        <v>40</v>
      </c>
      <c r="F88" s="275"/>
      <c r="G88" s="275">
        <f t="shared" si="23"/>
        <v>0</v>
      </c>
      <c r="H88" s="275"/>
      <c r="I88" s="275"/>
      <c r="J88" s="275">
        <v>0</v>
      </c>
      <c r="K88" s="275">
        <f t="shared" si="21"/>
        <v>39.998640000000002</v>
      </c>
      <c r="L88" s="275"/>
      <c r="M88" s="275">
        <v>39.998640000000002</v>
      </c>
      <c r="N88" s="275"/>
      <c r="O88" s="275">
        <f t="shared" si="22"/>
        <v>0</v>
      </c>
      <c r="P88" s="275"/>
      <c r="Q88" s="275"/>
      <c r="R88" s="275"/>
      <c r="S88" s="276">
        <f t="shared" si="24"/>
        <v>0.99996600000000002</v>
      </c>
      <c r="T88" s="276"/>
      <c r="U88" s="276">
        <f t="shared" si="25"/>
        <v>0.99996600000000002</v>
      </c>
      <c r="V88" s="276"/>
      <c r="W88" s="276"/>
      <c r="X88" s="276"/>
      <c r="Y88" s="276"/>
    </row>
    <row r="89" spans="1:25" ht="15.95" customHeight="1">
      <c r="A89" s="273" t="s">
        <v>339</v>
      </c>
      <c r="B89" s="274" t="s">
        <v>301</v>
      </c>
      <c r="C89" s="275">
        <f t="shared" si="26"/>
        <v>40</v>
      </c>
      <c r="D89" s="275"/>
      <c r="E89" s="275">
        <v>40</v>
      </c>
      <c r="F89" s="275"/>
      <c r="G89" s="275">
        <f t="shared" si="23"/>
        <v>0</v>
      </c>
      <c r="H89" s="275"/>
      <c r="I89" s="275"/>
      <c r="J89" s="275">
        <v>0</v>
      </c>
      <c r="K89" s="275">
        <f t="shared" si="21"/>
        <v>39.732190000000003</v>
      </c>
      <c r="L89" s="275"/>
      <c r="M89" s="275">
        <v>39.732190000000003</v>
      </c>
      <c r="N89" s="275"/>
      <c r="O89" s="275">
        <f t="shared" si="22"/>
        <v>0</v>
      </c>
      <c r="P89" s="275"/>
      <c r="Q89" s="275"/>
      <c r="R89" s="275"/>
      <c r="S89" s="276">
        <f t="shared" si="24"/>
        <v>0.99330475000000007</v>
      </c>
      <c r="T89" s="276"/>
      <c r="U89" s="276">
        <f t="shared" si="25"/>
        <v>0.99330475000000007</v>
      </c>
      <c r="V89" s="276"/>
      <c r="W89" s="276"/>
      <c r="X89" s="276"/>
      <c r="Y89" s="276"/>
    </row>
    <row r="90" spans="1:25" ht="15.95" customHeight="1">
      <c r="A90" s="273" t="s">
        <v>340</v>
      </c>
      <c r="B90" s="274" t="s">
        <v>302</v>
      </c>
      <c r="C90" s="275">
        <f t="shared" si="26"/>
        <v>40</v>
      </c>
      <c r="D90" s="275"/>
      <c r="E90" s="275">
        <v>40</v>
      </c>
      <c r="F90" s="275"/>
      <c r="G90" s="275">
        <f t="shared" si="23"/>
        <v>0</v>
      </c>
      <c r="H90" s="275"/>
      <c r="I90" s="275"/>
      <c r="J90" s="275">
        <v>0</v>
      </c>
      <c r="K90" s="275">
        <f t="shared" si="21"/>
        <v>40</v>
      </c>
      <c r="L90" s="275"/>
      <c r="M90" s="275">
        <v>40</v>
      </c>
      <c r="N90" s="275"/>
      <c r="O90" s="275">
        <f t="shared" si="22"/>
        <v>0</v>
      </c>
      <c r="P90" s="275"/>
      <c r="Q90" s="275"/>
      <c r="R90" s="275"/>
      <c r="S90" s="276">
        <f t="shared" si="24"/>
        <v>1</v>
      </c>
      <c r="T90" s="276"/>
      <c r="U90" s="276">
        <f t="shared" si="25"/>
        <v>1</v>
      </c>
      <c r="V90" s="276"/>
      <c r="W90" s="276"/>
      <c r="X90" s="276"/>
      <c r="Y90" s="276"/>
    </row>
    <row r="91" spans="1:25" ht="15.95" customHeight="1">
      <c r="A91" s="273" t="s">
        <v>341</v>
      </c>
      <c r="B91" s="274" t="s">
        <v>303</v>
      </c>
      <c r="C91" s="275">
        <f t="shared" si="26"/>
        <v>40</v>
      </c>
      <c r="D91" s="275"/>
      <c r="E91" s="275">
        <v>40</v>
      </c>
      <c r="F91" s="275"/>
      <c r="G91" s="275">
        <f t="shared" si="23"/>
        <v>0</v>
      </c>
      <c r="H91" s="275"/>
      <c r="I91" s="275"/>
      <c r="J91" s="275">
        <v>0</v>
      </c>
      <c r="K91" s="275">
        <f t="shared" si="21"/>
        <v>39.833880000000001</v>
      </c>
      <c r="L91" s="275"/>
      <c r="M91" s="275">
        <v>39.833880000000001</v>
      </c>
      <c r="N91" s="275"/>
      <c r="O91" s="275">
        <f t="shared" si="22"/>
        <v>0</v>
      </c>
      <c r="P91" s="275"/>
      <c r="Q91" s="275"/>
      <c r="R91" s="275"/>
      <c r="S91" s="276">
        <f t="shared" si="24"/>
        <v>0.99584700000000004</v>
      </c>
      <c r="T91" s="276"/>
      <c r="U91" s="276">
        <f t="shared" si="25"/>
        <v>0.99584700000000004</v>
      </c>
      <c r="V91" s="276"/>
      <c r="W91" s="276"/>
      <c r="X91" s="276"/>
      <c r="Y91" s="276"/>
    </row>
    <row r="92" spans="1:25" ht="15.95" customHeight="1">
      <c r="A92" s="273" t="s">
        <v>342</v>
      </c>
      <c r="B92" s="274" t="s">
        <v>304</v>
      </c>
      <c r="C92" s="275">
        <f t="shared" si="26"/>
        <v>45.51</v>
      </c>
      <c r="D92" s="275"/>
      <c r="E92" s="275">
        <v>45.51</v>
      </c>
      <c r="F92" s="275"/>
      <c r="G92" s="275">
        <f t="shared" si="23"/>
        <v>0</v>
      </c>
      <c r="H92" s="275"/>
      <c r="I92" s="275"/>
      <c r="J92" s="275">
        <v>0</v>
      </c>
      <c r="K92" s="275">
        <f t="shared" si="21"/>
        <v>45.504480000000001</v>
      </c>
      <c r="L92" s="275"/>
      <c r="M92" s="275">
        <v>45.504480000000001</v>
      </c>
      <c r="N92" s="275"/>
      <c r="O92" s="275">
        <f t="shared" si="22"/>
        <v>0</v>
      </c>
      <c r="P92" s="275"/>
      <c r="Q92" s="275"/>
      <c r="R92" s="275"/>
      <c r="S92" s="276">
        <f t="shared" si="24"/>
        <v>0.99987870797626899</v>
      </c>
      <c r="T92" s="276"/>
      <c r="U92" s="276">
        <f t="shared" si="25"/>
        <v>0.99987870797626899</v>
      </c>
      <c r="V92" s="276"/>
      <c r="W92" s="276"/>
      <c r="X92" s="276"/>
      <c r="Y92" s="276"/>
    </row>
    <row r="93" spans="1:25" ht="15.95" customHeight="1">
      <c r="A93" s="273" t="s">
        <v>343</v>
      </c>
      <c r="B93" s="274" t="s">
        <v>305</v>
      </c>
      <c r="C93" s="275">
        <f t="shared" si="26"/>
        <v>113.098865</v>
      </c>
      <c r="D93" s="275"/>
      <c r="E93" s="275">
        <v>113.098865</v>
      </c>
      <c r="F93" s="275"/>
      <c r="G93" s="275">
        <f t="shared" si="23"/>
        <v>0</v>
      </c>
      <c r="H93" s="275"/>
      <c r="I93" s="275"/>
      <c r="J93" s="275">
        <v>0</v>
      </c>
      <c r="K93" s="275">
        <f t="shared" si="21"/>
        <v>113.09886</v>
      </c>
      <c r="L93" s="275"/>
      <c r="M93" s="275">
        <v>113.09886</v>
      </c>
      <c r="N93" s="275"/>
      <c r="O93" s="275">
        <f t="shared" si="22"/>
        <v>0</v>
      </c>
      <c r="P93" s="275"/>
      <c r="Q93" s="275"/>
      <c r="R93" s="275"/>
      <c r="S93" s="276">
        <f t="shared" si="24"/>
        <v>0.9999999557908914</v>
      </c>
      <c r="T93" s="276"/>
      <c r="U93" s="276">
        <f t="shared" si="25"/>
        <v>0.9999999557908914</v>
      </c>
      <c r="V93" s="276"/>
      <c r="W93" s="276"/>
      <c r="X93" s="276"/>
      <c r="Y93" s="276"/>
    </row>
    <row r="94" spans="1:25" ht="15.95" customHeight="1">
      <c r="A94" s="273" t="s">
        <v>344</v>
      </c>
      <c r="B94" s="274" t="s">
        <v>306</v>
      </c>
      <c r="C94" s="275">
        <f t="shared" si="26"/>
        <v>40</v>
      </c>
      <c r="D94" s="275"/>
      <c r="E94" s="275">
        <v>40</v>
      </c>
      <c r="F94" s="275"/>
      <c r="G94" s="275">
        <f t="shared" si="23"/>
        <v>0</v>
      </c>
      <c r="H94" s="275"/>
      <c r="I94" s="275"/>
      <c r="J94" s="275">
        <v>0</v>
      </c>
      <c r="K94" s="275">
        <f t="shared" si="21"/>
        <v>39.911540000000002</v>
      </c>
      <c r="L94" s="275"/>
      <c r="M94" s="275">
        <v>39.911540000000002</v>
      </c>
      <c r="N94" s="275"/>
      <c r="O94" s="275">
        <f t="shared" si="22"/>
        <v>0</v>
      </c>
      <c r="P94" s="275"/>
      <c r="Q94" s="275"/>
      <c r="R94" s="275"/>
      <c r="S94" s="276">
        <f t="shared" si="24"/>
        <v>0.99778850000000008</v>
      </c>
      <c r="T94" s="276"/>
      <c r="U94" s="276">
        <f t="shared" si="25"/>
        <v>0.99778850000000008</v>
      </c>
      <c r="V94" s="276"/>
      <c r="W94" s="276"/>
      <c r="X94" s="276"/>
      <c r="Y94" s="276"/>
    </row>
    <row r="95" spans="1:25" ht="15.95" customHeight="1">
      <c r="A95" s="273" t="s">
        <v>345</v>
      </c>
      <c r="B95" s="274" t="s">
        <v>307</v>
      </c>
      <c r="C95" s="275">
        <f t="shared" si="26"/>
        <v>45.51</v>
      </c>
      <c r="D95" s="275"/>
      <c r="E95" s="275">
        <v>45.51</v>
      </c>
      <c r="F95" s="275"/>
      <c r="G95" s="275">
        <f t="shared" si="23"/>
        <v>0</v>
      </c>
      <c r="H95" s="275"/>
      <c r="I95" s="275"/>
      <c r="J95" s="275">
        <v>0</v>
      </c>
      <c r="K95" s="275">
        <f t="shared" si="21"/>
        <v>40</v>
      </c>
      <c r="L95" s="275"/>
      <c r="M95" s="275">
        <v>40</v>
      </c>
      <c r="N95" s="275"/>
      <c r="O95" s="275">
        <f t="shared" si="22"/>
        <v>0</v>
      </c>
      <c r="P95" s="275"/>
      <c r="Q95" s="275"/>
      <c r="R95" s="275"/>
      <c r="S95" s="276">
        <f t="shared" si="24"/>
        <v>0.87892770819600097</v>
      </c>
      <c r="T95" s="276"/>
      <c r="U95" s="276">
        <f t="shared" si="25"/>
        <v>0.87892770819600097</v>
      </c>
      <c r="V95" s="276"/>
      <c r="W95" s="276"/>
      <c r="X95" s="276"/>
      <c r="Y95" s="276"/>
    </row>
    <row r="96" spans="1:25" ht="15.95" customHeight="1">
      <c r="A96" s="273" t="s">
        <v>346</v>
      </c>
      <c r="B96" s="274" t="s">
        <v>308</v>
      </c>
      <c r="C96" s="275">
        <f t="shared" si="26"/>
        <v>43.79</v>
      </c>
      <c r="D96" s="275"/>
      <c r="E96" s="275">
        <v>43.79</v>
      </c>
      <c r="F96" s="275"/>
      <c r="G96" s="275">
        <f t="shared" si="23"/>
        <v>0</v>
      </c>
      <c r="H96" s="275"/>
      <c r="I96" s="275"/>
      <c r="J96" s="275">
        <v>0</v>
      </c>
      <c r="K96" s="275">
        <f t="shared" si="21"/>
        <v>43.482267999999998</v>
      </c>
      <c r="L96" s="275"/>
      <c r="M96" s="275">
        <v>43.482267999999998</v>
      </c>
      <c r="N96" s="275"/>
      <c r="O96" s="275">
        <f t="shared" si="22"/>
        <v>0</v>
      </c>
      <c r="P96" s="275"/>
      <c r="Q96" s="275"/>
      <c r="R96" s="275"/>
      <c r="S96" s="276">
        <f t="shared" si="24"/>
        <v>0.99297255081068736</v>
      </c>
      <c r="T96" s="276"/>
      <c r="U96" s="276">
        <f t="shared" si="25"/>
        <v>0.99297255081068736</v>
      </c>
      <c r="V96" s="276"/>
      <c r="W96" s="276"/>
      <c r="X96" s="276"/>
      <c r="Y96" s="276"/>
    </row>
    <row r="97" spans="1:25" ht="15.95" customHeight="1">
      <c r="A97" s="273" t="s">
        <v>347</v>
      </c>
      <c r="B97" s="274" t="s">
        <v>353</v>
      </c>
      <c r="C97" s="275">
        <f t="shared" si="26"/>
        <v>3169.201</v>
      </c>
      <c r="D97" s="275">
        <v>3.0880000000000001</v>
      </c>
      <c r="E97" s="275">
        <v>179.10300000000001</v>
      </c>
      <c r="F97" s="275"/>
      <c r="G97" s="275">
        <f t="shared" si="23"/>
        <v>2985</v>
      </c>
      <c r="H97" s="275">
        <v>2985</v>
      </c>
      <c r="I97" s="275"/>
      <c r="J97" s="275">
        <v>2.0099999999999998</v>
      </c>
      <c r="K97" s="275">
        <f t="shared" si="21"/>
        <v>4017.623</v>
      </c>
      <c r="L97" s="275">
        <v>3.0880000000000001</v>
      </c>
      <c r="M97" s="275">
        <v>177.52500000000001</v>
      </c>
      <c r="N97" s="275"/>
      <c r="O97" s="275">
        <f t="shared" si="22"/>
        <v>2986.8290000000002</v>
      </c>
      <c r="P97" s="275">
        <v>2986.8290000000002</v>
      </c>
      <c r="Q97" s="275"/>
      <c r="R97" s="275">
        <f>0.181+850</f>
        <v>850.18100000000004</v>
      </c>
      <c r="S97" s="276">
        <f t="shared" si="24"/>
        <v>1.2677084855141723</v>
      </c>
      <c r="T97" s="276">
        <f>L97/D97</f>
        <v>1</v>
      </c>
      <c r="U97" s="276">
        <f t="shared" si="25"/>
        <v>0.99118942731277526</v>
      </c>
      <c r="V97" s="276">
        <f t="shared" ref="V97:V108" si="27">O97/G97</f>
        <v>1.0006127303182579</v>
      </c>
      <c r="W97" s="276"/>
      <c r="X97" s="276"/>
      <c r="Y97" s="276">
        <f t="shared" ref="Y97:Y108" si="28">R97/J97</f>
        <v>422.9756218905473</v>
      </c>
    </row>
    <row r="98" spans="1:25" ht="15.95" customHeight="1">
      <c r="A98" s="273" t="s">
        <v>348</v>
      </c>
      <c r="B98" s="274" t="s">
        <v>370</v>
      </c>
      <c r="C98" s="275">
        <f t="shared" si="26"/>
        <v>1732.8528819999999</v>
      </c>
      <c r="D98" s="275">
        <v>0.777582</v>
      </c>
      <c r="E98" s="275">
        <v>112.36499999999999</v>
      </c>
      <c r="F98" s="275"/>
      <c r="G98" s="275">
        <f t="shared" si="23"/>
        <v>1513</v>
      </c>
      <c r="H98" s="275">
        <v>1513</v>
      </c>
      <c r="I98" s="275"/>
      <c r="J98" s="275">
        <v>106.7103</v>
      </c>
      <c r="K98" s="275">
        <f t="shared" si="21"/>
        <v>1731.0853</v>
      </c>
      <c r="L98" s="275"/>
      <c r="M98" s="275">
        <v>111.375</v>
      </c>
      <c r="N98" s="275"/>
      <c r="O98" s="275">
        <f t="shared" si="22"/>
        <v>1513.76</v>
      </c>
      <c r="P98" s="275">
        <v>1513.76</v>
      </c>
      <c r="Q98" s="275"/>
      <c r="R98" s="278">
        <v>105.9503</v>
      </c>
      <c r="S98" s="276">
        <f t="shared" si="24"/>
        <v>0.99897995841518883</v>
      </c>
      <c r="T98" s="276">
        <f>L98/D98</f>
        <v>0</v>
      </c>
      <c r="U98" s="276">
        <f t="shared" si="25"/>
        <v>0.99118942731277537</v>
      </c>
      <c r="V98" s="276">
        <f t="shared" si="27"/>
        <v>1.0005023132848645</v>
      </c>
      <c r="W98" s="276"/>
      <c r="X98" s="276"/>
      <c r="Y98" s="276">
        <f t="shared" si="28"/>
        <v>0.99287791337855857</v>
      </c>
    </row>
    <row r="99" spans="1:25" ht="15.95" customHeight="1">
      <c r="A99" s="273" t="s">
        <v>349</v>
      </c>
      <c r="B99" s="274" t="s">
        <v>354</v>
      </c>
      <c r="C99" s="275">
        <f t="shared" si="26"/>
        <v>4598.826</v>
      </c>
      <c r="D99" s="275"/>
      <c r="E99" s="275">
        <v>90.572999999999993</v>
      </c>
      <c r="F99" s="275"/>
      <c r="G99" s="275">
        <f>SUM(H99:I99)</f>
        <v>2213</v>
      </c>
      <c r="H99" s="275">
        <v>2213</v>
      </c>
      <c r="I99" s="275"/>
      <c r="J99" s="275">
        <v>2295.2530000000002</v>
      </c>
      <c r="K99" s="275">
        <f t="shared" si="21"/>
        <v>4598.0279999999993</v>
      </c>
      <c r="L99" s="275"/>
      <c r="M99" s="275">
        <v>89.775000000000006</v>
      </c>
      <c r="N99" s="275"/>
      <c r="O99" s="275">
        <f t="shared" si="22"/>
        <v>4039.8339999999998</v>
      </c>
      <c r="P99" s="275">
        <v>4039.8339999999998</v>
      </c>
      <c r="Q99" s="275"/>
      <c r="R99" s="275">
        <v>468.41899999999998</v>
      </c>
      <c r="S99" s="276">
        <f t="shared" si="24"/>
        <v>0.99982647745315856</v>
      </c>
      <c r="T99" s="276"/>
      <c r="U99" s="276">
        <f t="shared" si="25"/>
        <v>0.99118942731277548</v>
      </c>
      <c r="V99" s="276">
        <f t="shared" si="27"/>
        <v>1.825501129688206</v>
      </c>
      <c r="W99" s="276"/>
      <c r="X99" s="276"/>
      <c r="Y99" s="276">
        <f t="shared" si="28"/>
        <v>0.20408164154452688</v>
      </c>
    </row>
    <row r="100" spans="1:25" ht="15.95" customHeight="1">
      <c r="A100" s="273" t="s">
        <v>350</v>
      </c>
      <c r="B100" s="274" t="s">
        <v>355</v>
      </c>
      <c r="C100" s="275">
        <f t="shared" si="26"/>
        <v>1701.604</v>
      </c>
      <c r="D100" s="275">
        <v>3.5950000000000002</v>
      </c>
      <c r="E100" s="275">
        <v>67.709000000000003</v>
      </c>
      <c r="F100" s="275"/>
      <c r="G100" s="275">
        <f t="shared" ref="G100:G108" si="29">SUM(H100:I100)</f>
        <v>1013</v>
      </c>
      <c r="H100" s="275">
        <v>1013</v>
      </c>
      <c r="I100" s="275"/>
      <c r="J100" s="275">
        <v>617.29999999999995</v>
      </c>
      <c r="K100" s="275">
        <f t="shared" si="21"/>
        <v>1701.0047999999999</v>
      </c>
      <c r="L100" s="275">
        <v>3.5950000000000002</v>
      </c>
      <c r="M100" s="275">
        <v>67.11</v>
      </c>
      <c r="N100" s="275"/>
      <c r="O100" s="275">
        <f t="shared" si="22"/>
        <v>1628.4</v>
      </c>
      <c r="P100" s="275">
        <v>1628.4</v>
      </c>
      <c r="Q100" s="275"/>
      <c r="R100" s="275">
        <v>1.8997999999999999</v>
      </c>
      <c r="S100" s="276">
        <f t="shared" si="24"/>
        <v>0.99964786166464104</v>
      </c>
      <c r="T100" s="276">
        <f>L100/D100</f>
        <v>1</v>
      </c>
      <c r="U100" s="276">
        <f t="shared" si="25"/>
        <v>0.99115331787502392</v>
      </c>
      <c r="V100" s="276">
        <f t="shared" si="27"/>
        <v>1.6075024679170782</v>
      </c>
      <c r="W100" s="276"/>
      <c r="X100" s="276"/>
      <c r="Y100" s="276">
        <f t="shared" si="28"/>
        <v>3.0775959825044552E-3</v>
      </c>
    </row>
    <row r="101" spans="1:25" ht="15.95" customHeight="1">
      <c r="A101" s="273" t="s">
        <v>351</v>
      </c>
      <c r="B101" s="274" t="s">
        <v>356</v>
      </c>
      <c r="C101" s="275">
        <f t="shared" si="26"/>
        <v>6927.6880000000001</v>
      </c>
      <c r="D101" s="275">
        <v>8.2520000000000007</v>
      </c>
      <c r="E101" s="275">
        <v>242.43600000000001</v>
      </c>
      <c r="F101" s="275"/>
      <c r="G101" s="275">
        <f t="shared" si="29"/>
        <v>2900</v>
      </c>
      <c r="H101" s="275">
        <v>2900</v>
      </c>
      <c r="I101" s="275"/>
      <c r="J101" s="275">
        <v>3777</v>
      </c>
      <c r="K101" s="275">
        <f t="shared" si="21"/>
        <v>6925.152</v>
      </c>
      <c r="L101" s="275">
        <v>8.2520000000000007</v>
      </c>
      <c r="M101" s="275">
        <v>240.3</v>
      </c>
      <c r="N101" s="275"/>
      <c r="O101" s="275">
        <f t="shared" si="22"/>
        <v>6658.2815000000001</v>
      </c>
      <c r="P101" s="275">
        <v>6658.2815000000001</v>
      </c>
      <c r="Q101" s="275"/>
      <c r="R101" s="275">
        <v>18.3185</v>
      </c>
      <c r="S101" s="276">
        <f t="shared" si="24"/>
        <v>0.99963393270597634</v>
      </c>
      <c r="T101" s="276">
        <f>L101/D101</f>
        <v>1</v>
      </c>
      <c r="U101" s="276">
        <f t="shared" si="25"/>
        <v>0.99118942731277537</v>
      </c>
      <c r="V101" s="276">
        <f t="shared" si="27"/>
        <v>2.2959591379310345</v>
      </c>
      <c r="W101" s="276"/>
      <c r="X101" s="276"/>
      <c r="Y101" s="276">
        <f t="shared" si="28"/>
        <v>4.8500132380195921E-3</v>
      </c>
    </row>
    <row r="102" spans="1:25" ht="15.95" customHeight="1">
      <c r="A102" s="273" t="s">
        <v>360</v>
      </c>
      <c r="B102" s="274" t="s">
        <v>357</v>
      </c>
      <c r="C102" s="275">
        <f t="shared" si="26"/>
        <v>5516.0148119999994</v>
      </c>
      <c r="D102" s="275">
        <v>5.7318119999999997</v>
      </c>
      <c r="E102" s="275">
        <v>29.283000000000001</v>
      </c>
      <c r="F102" s="275"/>
      <c r="G102" s="275">
        <f t="shared" si="29"/>
        <v>1950</v>
      </c>
      <c r="H102" s="275">
        <v>1950</v>
      </c>
      <c r="I102" s="275"/>
      <c r="J102" s="275">
        <v>3531</v>
      </c>
      <c r="K102" s="275">
        <f t="shared" si="21"/>
        <v>5515.7568119999996</v>
      </c>
      <c r="L102" s="275">
        <v>5.7318119999999997</v>
      </c>
      <c r="M102" s="275">
        <v>29.024999999999999</v>
      </c>
      <c r="N102" s="275"/>
      <c r="O102" s="275">
        <f t="shared" si="22"/>
        <v>4954.7164480000001</v>
      </c>
      <c r="P102" s="275">
        <v>4954.7164480000001</v>
      </c>
      <c r="Q102" s="275"/>
      <c r="R102" s="275">
        <v>526.28355199999999</v>
      </c>
      <c r="S102" s="276">
        <f t="shared" si="24"/>
        <v>0.9999532271016679</v>
      </c>
      <c r="T102" s="276">
        <f>L102/D102</f>
        <v>1</v>
      </c>
      <c r="U102" s="276">
        <f t="shared" si="25"/>
        <v>0.99118942731277526</v>
      </c>
      <c r="V102" s="276">
        <f t="shared" si="27"/>
        <v>2.54088022974359</v>
      </c>
      <c r="W102" s="276"/>
      <c r="X102" s="276"/>
      <c r="Y102" s="276">
        <f t="shared" si="28"/>
        <v>0.1490466020957236</v>
      </c>
    </row>
    <row r="103" spans="1:25" ht="15.95" customHeight="1">
      <c r="A103" s="273" t="s">
        <v>361</v>
      </c>
      <c r="B103" s="274" t="s">
        <v>358</v>
      </c>
      <c r="C103" s="275">
        <f t="shared" si="26"/>
        <v>3065.2809999999999</v>
      </c>
      <c r="D103" s="275">
        <v>7.2859999999999996</v>
      </c>
      <c r="E103" s="275">
        <v>44.945999999999998</v>
      </c>
      <c r="F103" s="275"/>
      <c r="G103" s="275">
        <f t="shared" si="29"/>
        <v>1933</v>
      </c>
      <c r="H103" s="275">
        <v>1933</v>
      </c>
      <c r="I103" s="275"/>
      <c r="J103" s="275">
        <v>1080.049</v>
      </c>
      <c r="K103" s="275">
        <f t="shared" si="21"/>
        <v>3064.1260000000002</v>
      </c>
      <c r="L103" s="275">
        <v>6.5270000000000001</v>
      </c>
      <c r="M103" s="275">
        <v>44.55</v>
      </c>
      <c r="N103" s="275"/>
      <c r="O103" s="275">
        <f t="shared" si="22"/>
        <v>3012.3158020000001</v>
      </c>
      <c r="P103" s="275">
        <v>3012.3158020000001</v>
      </c>
      <c r="Q103" s="275"/>
      <c r="R103" s="275">
        <v>0.73319800000000002</v>
      </c>
      <c r="S103" s="276">
        <f t="shared" si="24"/>
        <v>0.99962319930864418</v>
      </c>
      <c r="T103" s="276">
        <f>L103/D103</f>
        <v>0.89582761460334892</v>
      </c>
      <c r="U103" s="276">
        <f t="shared" si="25"/>
        <v>0.99118942731277526</v>
      </c>
      <c r="V103" s="276">
        <f t="shared" si="27"/>
        <v>1.5583630636316608</v>
      </c>
      <c r="W103" s="276"/>
      <c r="X103" s="276"/>
      <c r="Y103" s="276">
        <f t="shared" si="28"/>
        <v>6.7885623707813255E-4</v>
      </c>
    </row>
    <row r="104" spans="1:25" ht="15.95" customHeight="1">
      <c r="A104" s="273" t="s">
        <v>362</v>
      </c>
      <c r="B104" s="274" t="s">
        <v>393</v>
      </c>
      <c r="C104" s="275">
        <f t="shared" si="26"/>
        <v>6499.0510000000004</v>
      </c>
      <c r="D104" s="279">
        <f>998.55-981.458</f>
        <v>17.091999999999985</v>
      </c>
      <c r="E104" s="275">
        <v>39.497999999999998</v>
      </c>
      <c r="F104" s="275"/>
      <c r="G104" s="275">
        <f t="shared" si="29"/>
        <v>2400</v>
      </c>
      <c r="H104" s="275">
        <v>2400</v>
      </c>
      <c r="I104" s="275"/>
      <c r="J104" s="275">
        <v>4042.4610000000002</v>
      </c>
      <c r="K104" s="275">
        <f t="shared" si="21"/>
        <v>6498.7029999999995</v>
      </c>
      <c r="L104" s="275">
        <v>998.55</v>
      </c>
      <c r="M104" s="275">
        <v>39.15</v>
      </c>
      <c r="N104" s="275"/>
      <c r="O104" s="275">
        <f t="shared" si="22"/>
        <v>3850.4459999999999</v>
      </c>
      <c r="P104" s="275">
        <v>3850.4459999999999</v>
      </c>
      <c r="Q104" s="275"/>
      <c r="R104" s="275">
        <v>1610.557</v>
      </c>
      <c r="S104" s="276">
        <f t="shared" si="24"/>
        <v>0.99994645372070468</v>
      </c>
      <c r="T104" s="276">
        <f>L104/D104</f>
        <v>58.422068804118936</v>
      </c>
      <c r="U104" s="276">
        <f t="shared" si="25"/>
        <v>0.99118942731277537</v>
      </c>
      <c r="V104" s="276">
        <f t="shared" si="27"/>
        <v>1.6043525000000001</v>
      </c>
      <c r="W104" s="276"/>
      <c r="X104" s="276"/>
      <c r="Y104" s="276">
        <f t="shared" si="28"/>
        <v>0.39841002795079528</v>
      </c>
    </row>
    <row r="105" spans="1:25" ht="15.95" customHeight="1">
      <c r="A105" s="273" t="s">
        <v>363</v>
      </c>
      <c r="B105" s="274" t="s">
        <v>359</v>
      </c>
      <c r="C105" s="275">
        <f t="shared" si="26"/>
        <v>2578.0935060000002</v>
      </c>
      <c r="D105" s="275"/>
      <c r="E105" s="275">
        <v>70.143000000000001</v>
      </c>
      <c r="F105" s="275"/>
      <c r="G105" s="275">
        <f t="shared" si="29"/>
        <v>2492</v>
      </c>
      <c r="H105" s="275">
        <v>2492</v>
      </c>
      <c r="I105" s="275"/>
      <c r="J105" s="275">
        <v>15.950506000000001</v>
      </c>
      <c r="K105" s="275">
        <f t="shared" si="21"/>
        <v>2577.4755060000002</v>
      </c>
      <c r="L105" s="275"/>
      <c r="M105" s="275">
        <v>69.525000000000006</v>
      </c>
      <c r="N105" s="275"/>
      <c r="O105" s="275">
        <f t="shared" si="22"/>
        <v>2494.6776159999999</v>
      </c>
      <c r="P105" s="275">
        <v>2494.6776159999999</v>
      </c>
      <c r="Q105" s="275"/>
      <c r="R105" s="275">
        <v>13.27289</v>
      </c>
      <c r="S105" s="276">
        <f t="shared" si="24"/>
        <v>0.99976028798080374</v>
      </c>
      <c r="T105" s="276"/>
      <c r="U105" s="276">
        <f t="shared" si="25"/>
        <v>0.99118942731277537</v>
      </c>
      <c r="V105" s="276">
        <f t="shared" si="27"/>
        <v>1.0010744847512039</v>
      </c>
      <c r="W105" s="276"/>
      <c r="X105" s="276"/>
      <c r="Y105" s="276">
        <f t="shared" si="28"/>
        <v>0.83212971425483306</v>
      </c>
    </row>
    <row r="106" spans="1:25" ht="15.95" customHeight="1">
      <c r="A106" s="273" t="s">
        <v>364</v>
      </c>
      <c r="B106" s="274" t="s">
        <v>234</v>
      </c>
      <c r="C106" s="275">
        <f t="shared" si="26"/>
        <v>3782.6800480000002</v>
      </c>
      <c r="D106" s="275"/>
      <c r="E106" s="275">
        <v>74.119</v>
      </c>
      <c r="F106" s="275"/>
      <c r="G106" s="275">
        <f t="shared" si="29"/>
        <v>2000</v>
      </c>
      <c r="H106" s="275">
        <v>2000</v>
      </c>
      <c r="I106" s="275"/>
      <c r="J106" s="275">
        <v>1708.561048</v>
      </c>
      <c r="K106" s="275">
        <f t="shared" si="21"/>
        <v>3782.0260480000002</v>
      </c>
      <c r="L106" s="275"/>
      <c r="M106" s="275">
        <v>73.465000000000003</v>
      </c>
      <c r="N106" s="275"/>
      <c r="O106" s="275">
        <f t="shared" si="22"/>
        <v>3698.6280000000002</v>
      </c>
      <c r="P106" s="275">
        <v>3698.6280000000002</v>
      </c>
      <c r="Q106" s="275"/>
      <c r="R106" s="275">
        <v>9.9330479999999994</v>
      </c>
      <c r="S106" s="276">
        <f t="shared" si="24"/>
        <v>0.99982710670960773</v>
      </c>
      <c r="T106" s="276"/>
      <c r="U106" s="276">
        <f t="shared" si="25"/>
        <v>0.99117635154278938</v>
      </c>
      <c r="V106" s="276">
        <f t="shared" si="27"/>
        <v>1.8493140000000001</v>
      </c>
      <c r="W106" s="276"/>
      <c r="X106" s="276"/>
      <c r="Y106" s="276">
        <f t="shared" si="28"/>
        <v>5.813692177769933E-3</v>
      </c>
    </row>
    <row r="107" spans="1:25" ht="15.95" customHeight="1">
      <c r="A107" s="273" t="s">
        <v>365</v>
      </c>
      <c r="B107" s="274" t="s">
        <v>235</v>
      </c>
      <c r="C107" s="275">
        <f t="shared" si="26"/>
        <v>6313.7765810000001</v>
      </c>
      <c r="D107" s="275"/>
      <c r="E107" s="275">
        <v>228.816</v>
      </c>
      <c r="F107" s="275"/>
      <c r="G107" s="275">
        <f t="shared" si="29"/>
        <v>4878</v>
      </c>
      <c r="H107" s="275">
        <v>4878</v>
      </c>
      <c r="I107" s="275"/>
      <c r="J107" s="275">
        <v>1206.960581</v>
      </c>
      <c r="K107" s="275">
        <f t="shared" si="21"/>
        <v>6311.7605810000005</v>
      </c>
      <c r="L107" s="275"/>
      <c r="M107" s="275">
        <v>226.8</v>
      </c>
      <c r="N107" s="275"/>
      <c r="O107" s="275">
        <f t="shared" si="22"/>
        <v>6074.9362350000001</v>
      </c>
      <c r="P107" s="275">
        <v>6074.9362350000001</v>
      </c>
      <c r="Q107" s="275"/>
      <c r="R107" s="275">
        <v>10.024346</v>
      </c>
      <c r="S107" s="276">
        <f t="shared" si="24"/>
        <v>0.99968069823597083</v>
      </c>
      <c r="T107" s="276"/>
      <c r="U107" s="276">
        <f t="shared" si="25"/>
        <v>0.99118942731277537</v>
      </c>
      <c r="V107" s="276">
        <f t="shared" si="27"/>
        <v>1.2453743819188192</v>
      </c>
      <c r="W107" s="276"/>
      <c r="X107" s="276"/>
      <c r="Y107" s="276">
        <f t="shared" si="28"/>
        <v>8.3054460583083436E-3</v>
      </c>
    </row>
    <row r="108" spans="1:25" ht="15.95" customHeight="1">
      <c r="A108" s="273" t="s">
        <v>366</v>
      </c>
      <c r="B108" s="274" t="s">
        <v>236</v>
      </c>
      <c r="C108" s="275">
        <f t="shared" si="26"/>
        <v>5370.2280000000001</v>
      </c>
      <c r="D108" s="277"/>
      <c r="E108" s="275">
        <v>264.22800000000001</v>
      </c>
      <c r="F108" s="275"/>
      <c r="G108" s="275">
        <f t="shared" si="29"/>
        <v>2500</v>
      </c>
      <c r="H108" s="275">
        <v>2500</v>
      </c>
      <c r="I108" s="275"/>
      <c r="J108" s="275">
        <v>2606</v>
      </c>
      <c r="K108" s="275">
        <f t="shared" si="21"/>
        <v>5367.9</v>
      </c>
      <c r="L108" s="277"/>
      <c r="M108" s="275">
        <v>261.89999999999998</v>
      </c>
      <c r="N108" s="275"/>
      <c r="O108" s="275">
        <f t="shared" si="22"/>
        <v>2408.3933179999999</v>
      </c>
      <c r="P108" s="275">
        <v>2408.3933179999999</v>
      </c>
      <c r="Q108" s="275"/>
      <c r="R108" s="275">
        <v>2697.6066820000001</v>
      </c>
      <c r="S108" s="276">
        <f t="shared" si="24"/>
        <v>0.99956649885256266</v>
      </c>
      <c r="T108" s="276"/>
      <c r="U108" s="276">
        <f t="shared" si="25"/>
        <v>0.99118942731277526</v>
      </c>
      <c r="V108" s="276">
        <f t="shared" si="27"/>
        <v>0.9633573272</v>
      </c>
      <c r="W108" s="276"/>
      <c r="X108" s="276"/>
      <c r="Y108" s="276">
        <f t="shared" si="28"/>
        <v>1.0351522187260169</v>
      </c>
    </row>
    <row r="109" spans="1:25" ht="15.95" customHeight="1">
      <c r="A109" s="273" t="s">
        <v>16</v>
      </c>
      <c r="B109" s="274" t="s">
        <v>368</v>
      </c>
      <c r="C109" s="275">
        <f t="shared" si="26"/>
        <v>7080</v>
      </c>
      <c r="D109" s="275"/>
      <c r="E109" s="275"/>
      <c r="F109" s="275">
        <v>7080</v>
      </c>
      <c r="G109" s="275">
        <f t="shared" ref="G109" si="30">H109+I109</f>
        <v>0</v>
      </c>
      <c r="H109" s="275"/>
      <c r="I109" s="275"/>
      <c r="J109" s="275">
        <v>0</v>
      </c>
      <c r="K109" s="275">
        <f>L109+M109+N109+O109+R109</f>
        <v>0</v>
      </c>
      <c r="L109" s="275"/>
      <c r="M109" s="275"/>
      <c r="N109" s="275"/>
      <c r="O109" s="275">
        <f t="shared" si="22"/>
        <v>0</v>
      </c>
      <c r="P109" s="275"/>
      <c r="Q109" s="275"/>
      <c r="R109" s="275"/>
      <c r="S109" s="276">
        <f t="shared" si="24"/>
        <v>0</v>
      </c>
      <c r="T109" s="276"/>
      <c r="U109" s="276"/>
      <c r="V109" s="276"/>
      <c r="W109" s="276"/>
      <c r="X109" s="276"/>
      <c r="Y109" s="276"/>
    </row>
    <row r="110" spans="1:25" ht="15.95" customHeight="1">
      <c r="A110" s="273" t="s">
        <v>50</v>
      </c>
      <c r="B110" s="274" t="s">
        <v>369</v>
      </c>
      <c r="C110" s="275">
        <f t="shared" si="26"/>
        <v>34615.629428</v>
      </c>
      <c r="D110" s="275"/>
      <c r="E110" s="275"/>
      <c r="F110" s="275">
        <v>6547</v>
      </c>
      <c r="G110" s="275">
        <f t="shared" ref="G110:G112" si="31">H110+I110</f>
        <v>0</v>
      </c>
      <c r="H110" s="275"/>
      <c r="I110" s="275"/>
      <c r="J110" s="275">
        <v>28068.629428</v>
      </c>
      <c r="K110" s="275">
        <f t="shared" ref="K110:K113" si="32">L110+M110+N110+O110+R110</f>
        <v>26812.037840000001</v>
      </c>
      <c r="L110" s="275"/>
      <c r="M110" s="275"/>
      <c r="N110" s="275"/>
      <c r="O110" s="275">
        <f t="shared" si="22"/>
        <v>0</v>
      </c>
      <c r="P110" s="275"/>
      <c r="Q110" s="275"/>
      <c r="R110" s="275">
        <f>26799.31884+12.719</f>
        <v>26812.037840000001</v>
      </c>
      <c r="S110" s="276">
        <f t="shared" si="24"/>
        <v>0.77456450404198618</v>
      </c>
      <c r="T110" s="276"/>
      <c r="U110" s="276"/>
      <c r="V110" s="276"/>
      <c r="W110" s="276"/>
      <c r="X110" s="276"/>
      <c r="Y110" s="276">
        <f>R110/J110</f>
        <v>0.95523145897724238</v>
      </c>
    </row>
    <row r="111" spans="1:25" ht="27" customHeight="1">
      <c r="A111" s="273" t="s">
        <v>51</v>
      </c>
      <c r="B111" s="274" t="s">
        <v>424</v>
      </c>
      <c r="C111" s="275">
        <f>D111+E111+F111+G111+J111</f>
        <v>106994.00000000001</v>
      </c>
      <c r="D111" s="275"/>
      <c r="E111" s="275"/>
      <c r="F111" s="275">
        <v>106994.00000000001</v>
      </c>
      <c r="G111" s="275">
        <f t="shared" si="31"/>
        <v>0</v>
      </c>
      <c r="H111" s="275"/>
      <c r="I111" s="275"/>
      <c r="J111" s="275">
        <v>0</v>
      </c>
      <c r="K111" s="275">
        <f t="shared" si="32"/>
        <v>115094.768419</v>
      </c>
      <c r="L111" s="275"/>
      <c r="M111" s="275"/>
      <c r="N111" s="275">
        <v>115094.768419</v>
      </c>
      <c r="O111" s="275">
        <f t="shared" si="22"/>
        <v>0</v>
      </c>
      <c r="P111" s="275"/>
      <c r="Q111" s="275"/>
      <c r="R111" s="275"/>
      <c r="S111" s="276">
        <f t="shared" si="24"/>
        <v>1.0757123616184083</v>
      </c>
      <c r="T111" s="276"/>
      <c r="U111" s="276"/>
      <c r="V111" s="276"/>
      <c r="W111" s="276"/>
      <c r="X111" s="276"/>
      <c r="Y111" s="276"/>
    </row>
    <row r="112" spans="1:25" ht="27" customHeight="1">
      <c r="A112" s="273" t="s">
        <v>19</v>
      </c>
      <c r="B112" s="274" t="s">
        <v>426</v>
      </c>
      <c r="C112" s="275">
        <f t="shared" si="26"/>
        <v>14043.847963999999</v>
      </c>
      <c r="D112" s="275"/>
      <c r="E112" s="275"/>
      <c r="F112" s="275"/>
      <c r="G112" s="275">
        <f t="shared" si="31"/>
        <v>0</v>
      </c>
      <c r="H112" s="275"/>
      <c r="I112" s="275"/>
      <c r="J112" s="275">
        <v>14043.847963999999</v>
      </c>
      <c r="K112" s="275">
        <f t="shared" si="32"/>
        <v>224.67724699999999</v>
      </c>
      <c r="L112" s="275"/>
      <c r="M112" s="275"/>
      <c r="N112" s="275"/>
      <c r="O112" s="275">
        <f t="shared" ref="O112" si="33">P112+Q112</f>
        <v>0</v>
      </c>
      <c r="P112" s="275"/>
      <c r="Q112" s="275"/>
      <c r="R112" s="275">
        <f>198.1+26.577247</f>
        <v>224.67724699999999</v>
      </c>
      <c r="S112" s="276">
        <f t="shared" si="24"/>
        <v>1.5998268250691526E-2</v>
      </c>
      <c r="T112" s="276"/>
      <c r="U112" s="276"/>
      <c r="V112" s="276"/>
      <c r="W112" s="276"/>
      <c r="X112" s="276"/>
      <c r="Y112" s="276">
        <f>R112/J112</f>
        <v>1.5998268250691526E-2</v>
      </c>
    </row>
    <row r="113" spans="1:25" ht="15.95" customHeight="1">
      <c r="A113" s="280" t="s">
        <v>21</v>
      </c>
      <c r="B113" s="274" t="s">
        <v>246</v>
      </c>
      <c r="C113" s="275"/>
      <c r="D113" s="275"/>
      <c r="E113" s="275"/>
      <c r="F113" s="275"/>
      <c r="G113" s="275"/>
      <c r="H113" s="275"/>
      <c r="I113" s="275"/>
      <c r="J113" s="275" t="e">
        <f>SUM(#REF!)</f>
        <v>#REF!</v>
      </c>
      <c r="K113" s="275">
        <f t="shared" si="32"/>
        <v>30115.207053999999</v>
      </c>
      <c r="L113" s="275"/>
      <c r="M113" s="275"/>
      <c r="N113" s="275">
        <v>30115.207053999999</v>
      </c>
      <c r="O113" s="275"/>
      <c r="P113" s="275"/>
      <c r="Q113" s="275"/>
      <c r="R113" s="275"/>
      <c r="S113" s="276"/>
      <c r="T113" s="276"/>
      <c r="U113" s="276"/>
      <c r="V113" s="276"/>
      <c r="W113" s="276"/>
      <c r="X113" s="276"/>
      <c r="Y113" s="276"/>
    </row>
    <row r="114" spans="1:25" ht="8.25" customHeight="1">
      <c r="A114" s="135"/>
      <c r="B114" s="136"/>
      <c r="C114" s="137"/>
      <c r="D114" s="137"/>
      <c r="E114" s="137"/>
      <c r="F114" s="137"/>
      <c r="G114" s="137"/>
      <c r="H114" s="137"/>
      <c r="I114" s="137"/>
      <c r="J114" s="137"/>
      <c r="K114" s="137"/>
      <c r="L114" s="137"/>
      <c r="M114" s="137"/>
      <c r="N114" s="137"/>
      <c r="O114" s="137"/>
      <c r="P114" s="137"/>
      <c r="Q114" s="137"/>
      <c r="R114" s="137"/>
      <c r="S114" s="137"/>
      <c r="T114" s="137"/>
      <c r="U114" s="137"/>
      <c r="V114" s="137"/>
      <c r="W114" s="137"/>
      <c r="X114" s="137"/>
      <c r="Y114" s="137"/>
    </row>
    <row r="115" spans="1:25" ht="15" customHeight="1">
      <c r="C115" s="108" t="s">
        <v>553</v>
      </c>
    </row>
    <row r="116" spans="1:25" ht="15" customHeight="1">
      <c r="C116" s="108" t="s">
        <v>460</v>
      </c>
    </row>
    <row r="117" spans="1:25">
      <c r="A117" s="138"/>
      <c r="B117" s="139"/>
      <c r="C117" s="140"/>
      <c r="D117" s="140"/>
      <c r="E117" s="140"/>
      <c r="F117" s="140"/>
      <c r="G117" s="140"/>
      <c r="H117" s="140"/>
      <c r="I117" s="140"/>
      <c r="J117" s="140"/>
      <c r="K117" s="140"/>
      <c r="L117" s="140"/>
      <c r="M117" s="140"/>
      <c r="N117" s="140"/>
      <c r="O117" s="140"/>
      <c r="P117" s="140"/>
      <c r="Q117" s="140"/>
      <c r="R117" s="140"/>
      <c r="S117" s="140"/>
      <c r="T117" s="140"/>
      <c r="U117" s="140"/>
      <c r="V117" s="140"/>
      <c r="W117" s="140"/>
      <c r="X117" s="140"/>
      <c r="Y117" s="140"/>
    </row>
    <row r="118" spans="1:25">
      <c r="A118" s="179" t="s">
        <v>89</v>
      </c>
      <c r="B118" s="179"/>
      <c r="C118" s="179"/>
      <c r="D118" s="179"/>
      <c r="E118" s="179"/>
      <c r="F118" s="179"/>
      <c r="G118" s="179"/>
      <c r="H118" s="179"/>
      <c r="I118" s="179"/>
      <c r="J118" s="179"/>
      <c r="K118" s="179"/>
      <c r="L118" s="179"/>
      <c r="M118" s="179"/>
      <c r="N118" s="179"/>
      <c r="O118" s="179"/>
      <c r="P118" s="179"/>
      <c r="Q118" s="179"/>
      <c r="R118" s="179"/>
      <c r="S118" s="179"/>
      <c r="T118" s="179"/>
      <c r="U118" s="179"/>
      <c r="V118" s="179"/>
      <c r="W118" s="179"/>
      <c r="X118" s="179"/>
      <c r="Y118" s="179"/>
    </row>
    <row r="119" spans="1:25">
      <c r="A119" s="179" t="s">
        <v>90</v>
      </c>
      <c r="B119" s="179"/>
      <c r="C119" s="179"/>
      <c r="D119" s="179"/>
      <c r="E119" s="179"/>
      <c r="F119" s="179"/>
      <c r="G119" s="179"/>
      <c r="H119" s="179"/>
      <c r="I119" s="179"/>
      <c r="J119" s="179"/>
      <c r="K119" s="179"/>
      <c r="L119" s="179"/>
      <c r="M119" s="179"/>
      <c r="N119" s="179"/>
      <c r="O119" s="179"/>
      <c r="P119" s="179"/>
      <c r="Q119" s="179"/>
      <c r="R119" s="179"/>
      <c r="S119" s="179"/>
      <c r="T119" s="179"/>
      <c r="U119" s="179"/>
      <c r="V119" s="179"/>
      <c r="W119" s="179"/>
      <c r="X119" s="179"/>
      <c r="Y119" s="179"/>
    </row>
    <row r="120" spans="1:25">
      <c r="J120" s="141">
        <v>70256683005</v>
      </c>
    </row>
    <row r="121" spans="1:25">
      <c r="J121" s="141">
        <v>29299898671</v>
      </c>
      <c r="M121" s="180">
        <f>M10*1000000</f>
        <v>324982933268.00018</v>
      </c>
      <c r="N121" s="180"/>
      <c r="R121" s="141"/>
    </row>
    <row r="122" spans="1:25">
      <c r="J122" s="141">
        <f>J120-J121</f>
        <v>40956784334</v>
      </c>
      <c r="M122" s="180">
        <v>297806577170</v>
      </c>
      <c r="N122" s="180"/>
      <c r="R122" s="141"/>
    </row>
    <row r="123" spans="1:25">
      <c r="N123" s="141">
        <f>M121-M122</f>
        <v>27176356098.000183</v>
      </c>
      <c r="R123" s="141"/>
    </row>
  </sheetData>
  <mergeCells count="38">
    <mergeCell ref="C3:M3"/>
    <mergeCell ref="M121:N121"/>
    <mergeCell ref="M122:N122"/>
    <mergeCell ref="A119:Y119"/>
    <mergeCell ref="X7:X8"/>
    <mergeCell ref="K6:K8"/>
    <mergeCell ref="L6:L8"/>
    <mergeCell ref="M6:M8"/>
    <mergeCell ref="O6:Q6"/>
    <mergeCell ref="V6:X6"/>
    <mergeCell ref="Y6:Y8"/>
    <mergeCell ref="G7:G8"/>
    <mergeCell ref="H7:H8"/>
    <mergeCell ref="I7:I8"/>
    <mergeCell ref="O7:O8"/>
    <mergeCell ref="P7:P8"/>
    <mergeCell ref="R6:R8"/>
    <mergeCell ref="A118:Y118"/>
    <mergeCell ref="A5:A8"/>
    <mergeCell ref="B5:B8"/>
    <mergeCell ref="C5:J5"/>
    <mergeCell ref="S5:Y5"/>
    <mergeCell ref="C6:C8"/>
    <mergeCell ref="D6:D8"/>
    <mergeCell ref="E6:E8"/>
    <mergeCell ref="G6:I6"/>
    <mergeCell ref="Q7:Q8"/>
    <mergeCell ref="W7:W8"/>
    <mergeCell ref="S6:S8"/>
    <mergeCell ref="T6:T8"/>
    <mergeCell ref="F6:F8"/>
    <mergeCell ref="N6:N8"/>
    <mergeCell ref="X4:Y4"/>
    <mergeCell ref="J6:J8"/>
    <mergeCell ref="K5:M5"/>
    <mergeCell ref="N5:R5"/>
    <mergeCell ref="U6:U8"/>
    <mergeCell ref="V7:V8"/>
  </mergeCells>
  <phoneticPr fontId="23" type="noConversion"/>
  <pageMargins left="0.5" right="0.3" top="0.5" bottom="0.4" header="0.3" footer="0.3"/>
  <pageSetup paperSize="9" scale="70" firstPageNumber="3" pageOrder="overThenDown" orientation="landscape" verticalDpi="0" r:id="rId1"/>
  <headerFoot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27"/>
  <sheetViews>
    <sheetView showGridLines="0" showZeros="0" topLeftCell="A5" workbookViewId="0">
      <selection activeCell="A6" sqref="A6:V23"/>
    </sheetView>
  </sheetViews>
  <sheetFormatPr defaultRowHeight="15"/>
  <cols>
    <col min="1" max="1" width="6.28515625" style="69" customWidth="1"/>
    <col min="2" max="2" width="19.140625" style="69" customWidth="1"/>
    <col min="3" max="3" width="11.140625" style="69" customWidth="1"/>
    <col min="4" max="4" width="10.42578125" style="69" customWidth="1"/>
    <col min="5" max="5" width="10.85546875" style="69" customWidth="1"/>
    <col min="6" max="6" width="9.7109375" style="69" customWidth="1"/>
    <col min="7" max="8" width="11.140625" style="69" customWidth="1"/>
    <col min="9" max="9" width="10.42578125" style="69" customWidth="1"/>
    <col min="10" max="10" width="10" style="69" customWidth="1"/>
    <col min="11" max="12" width="11.140625" style="69" customWidth="1"/>
    <col min="13" max="13" width="10.28515625" style="69" customWidth="1"/>
    <col min="14" max="14" width="11.140625" style="69" customWidth="1"/>
    <col min="15" max="15" width="8" style="69" customWidth="1"/>
    <col min="16" max="18" width="11.140625" style="69" customWidth="1"/>
    <col min="19" max="19" width="8.85546875" style="69" customWidth="1"/>
    <col min="20" max="20" width="9.28515625" style="69" customWidth="1"/>
    <col min="21" max="21" width="9" style="69" customWidth="1"/>
    <col min="22" max="22" width="8.85546875" style="69" customWidth="1"/>
    <col min="23" max="16384" width="9.140625" style="69"/>
  </cols>
  <sheetData>
    <row r="1" spans="1:22">
      <c r="A1" s="67" t="s">
        <v>95</v>
      </c>
      <c r="B1" s="68"/>
      <c r="C1" s="68"/>
      <c r="D1" s="68"/>
      <c r="E1" s="68"/>
      <c r="F1" s="68"/>
      <c r="G1" s="68"/>
      <c r="H1" s="68"/>
      <c r="I1" s="68"/>
      <c r="J1" s="68"/>
      <c r="K1" s="68"/>
      <c r="L1" s="68"/>
      <c r="M1" s="68"/>
      <c r="N1" s="68"/>
      <c r="O1" s="68"/>
      <c r="P1" s="68"/>
      <c r="Q1" s="68"/>
      <c r="R1" s="68"/>
      <c r="S1" s="68"/>
      <c r="T1" s="68"/>
      <c r="U1" s="68"/>
      <c r="V1" s="68"/>
    </row>
    <row r="2" spans="1:22" ht="19.5" customHeight="1">
      <c r="A2" s="281" t="s">
        <v>532</v>
      </c>
      <c r="B2" s="281"/>
      <c r="C2" s="281"/>
      <c r="D2" s="281"/>
      <c r="E2" s="281"/>
      <c r="F2" s="281"/>
      <c r="G2" s="281"/>
      <c r="H2" s="281"/>
      <c r="I2" s="281"/>
      <c r="J2" s="281"/>
      <c r="K2" s="281"/>
      <c r="L2" s="281"/>
      <c r="M2" s="281"/>
      <c r="N2" s="281"/>
      <c r="O2" s="281"/>
      <c r="P2" s="281"/>
      <c r="Q2" s="281"/>
      <c r="R2" s="281"/>
      <c r="S2" s="281"/>
      <c r="T2" s="281"/>
      <c r="U2" s="281"/>
      <c r="V2" s="281"/>
    </row>
    <row r="3" spans="1:22" ht="18.75" customHeight="1">
      <c r="A3" s="181" t="s">
        <v>513</v>
      </c>
      <c r="B3" s="181"/>
      <c r="C3" s="181"/>
      <c r="D3" s="181"/>
      <c r="E3" s="181"/>
      <c r="F3" s="181"/>
      <c r="G3" s="181"/>
      <c r="H3" s="181"/>
      <c r="I3" s="181"/>
      <c r="J3" s="181"/>
      <c r="K3" s="181"/>
      <c r="L3" s="181"/>
      <c r="M3" s="181"/>
      <c r="N3" s="181"/>
      <c r="O3" s="181"/>
      <c r="P3" s="181"/>
      <c r="Q3" s="181"/>
      <c r="R3" s="181"/>
      <c r="S3" s="181"/>
      <c r="T3" s="181"/>
      <c r="U3" s="181"/>
      <c r="V3" s="181"/>
    </row>
    <row r="4" spans="1:22">
      <c r="A4" s="70" t="s">
        <v>0</v>
      </c>
      <c r="B4" s="70"/>
      <c r="C4" s="70"/>
      <c r="D4" s="70"/>
      <c r="E4" s="70"/>
      <c r="F4" s="70"/>
      <c r="G4" s="70"/>
      <c r="H4" s="70"/>
      <c r="I4" s="70"/>
      <c r="J4" s="70"/>
      <c r="K4" s="70"/>
      <c r="L4" s="70"/>
      <c r="M4" s="70"/>
      <c r="N4" s="70"/>
      <c r="O4" s="70"/>
      <c r="P4" s="70"/>
      <c r="Q4" s="70"/>
      <c r="R4" s="70"/>
      <c r="S4" s="70"/>
      <c r="T4" s="182" t="s">
        <v>429</v>
      </c>
      <c r="U4" s="182"/>
      <c r="V4" s="182"/>
    </row>
    <row r="5" spans="1:22" ht="15" customHeight="1">
      <c r="B5" s="282"/>
      <c r="C5" s="282"/>
      <c r="D5" s="282"/>
      <c r="E5" s="282"/>
      <c r="F5" s="282"/>
      <c r="G5" s="282"/>
      <c r="H5" s="282"/>
      <c r="I5" s="282"/>
      <c r="J5" s="282"/>
      <c r="K5" s="282"/>
      <c r="L5" s="282"/>
      <c r="M5" s="282"/>
      <c r="N5" s="282"/>
      <c r="O5" s="282"/>
      <c r="P5" s="282"/>
      <c r="Q5" s="282"/>
      <c r="R5" s="127"/>
      <c r="T5" s="283"/>
      <c r="U5" s="283"/>
      <c r="V5" s="283"/>
    </row>
    <row r="6" spans="1:22" ht="21" customHeight="1">
      <c r="A6" s="284" t="s">
        <v>134</v>
      </c>
      <c r="B6" s="284" t="s">
        <v>372</v>
      </c>
      <c r="C6" s="284" t="s">
        <v>374</v>
      </c>
      <c r="D6" s="284"/>
      <c r="E6" s="284"/>
      <c r="F6" s="284"/>
      <c r="G6" s="284" t="s">
        <v>96</v>
      </c>
      <c r="H6" s="284"/>
      <c r="I6" s="284"/>
      <c r="J6" s="284"/>
      <c r="K6" s="284"/>
      <c r="L6" s="284"/>
      <c r="M6" s="284"/>
      <c r="N6" s="284"/>
      <c r="O6" s="284"/>
      <c r="P6" s="284"/>
      <c r="Q6" s="284"/>
      <c r="R6" s="284"/>
      <c r="S6" s="284" t="s">
        <v>5</v>
      </c>
      <c r="T6" s="284"/>
      <c r="U6" s="284"/>
      <c r="V6" s="284"/>
    </row>
    <row r="7" spans="1:22" ht="21" customHeight="1">
      <c r="A7" s="284"/>
      <c r="B7" s="284"/>
      <c r="C7" s="284" t="s">
        <v>58</v>
      </c>
      <c r="D7" s="284" t="s">
        <v>9</v>
      </c>
      <c r="E7" s="284" t="s">
        <v>17</v>
      </c>
      <c r="F7" s="284" t="s">
        <v>376</v>
      </c>
      <c r="G7" s="284" t="s">
        <v>58</v>
      </c>
      <c r="H7" s="284" t="s">
        <v>9</v>
      </c>
      <c r="I7" s="284"/>
      <c r="J7" s="284"/>
      <c r="K7" s="284" t="s">
        <v>17</v>
      </c>
      <c r="L7" s="284"/>
      <c r="M7" s="284"/>
      <c r="N7" s="284" t="s">
        <v>97</v>
      </c>
      <c r="O7" s="284"/>
      <c r="P7" s="284"/>
      <c r="Q7" s="284" t="s">
        <v>98</v>
      </c>
      <c r="R7" s="284" t="s">
        <v>156</v>
      </c>
      <c r="S7" s="284" t="s">
        <v>58</v>
      </c>
      <c r="T7" s="284" t="s">
        <v>9</v>
      </c>
      <c r="U7" s="284" t="s">
        <v>17</v>
      </c>
      <c r="V7" s="284" t="s">
        <v>376</v>
      </c>
    </row>
    <row r="8" spans="1:22" ht="21" customHeight="1">
      <c r="A8" s="284"/>
      <c r="B8" s="284"/>
      <c r="C8" s="284"/>
      <c r="D8" s="284"/>
      <c r="E8" s="284"/>
      <c r="F8" s="284"/>
      <c r="G8" s="284"/>
      <c r="H8" s="284" t="s">
        <v>58</v>
      </c>
      <c r="I8" s="284" t="s">
        <v>91</v>
      </c>
      <c r="J8" s="284"/>
      <c r="K8" s="284" t="s">
        <v>58</v>
      </c>
      <c r="L8" s="284" t="s">
        <v>91</v>
      </c>
      <c r="M8" s="284"/>
      <c r="N8" s="284" t="s">
        <v>58</v>
      </c>
      <c r="O8" s="284" t="s">
        <v>91</v>
      </c>
      <c r="P8" s="284"/>
      <c r="Q8" s="284"/>
      <c r="R8" s="284"/>
      <c r="S8" s="284"/>
      <c r="T8" s="284"/>
      <c r="U8" s="284"/>
      <c r="V8" s="284"/>
    </row>
    <row r="9" spans="1:22" ht="78.75" customHeight="1">
      <c r="A9" s="284"/>
      <c r="B9" s="284"/>
      <c r="C9" s="284"/>
      <c r="D9" s="284"/>
      <c r="E9" s="284"/>
      <c r="F9" s="284"/>
      <c r="G9" s="284"/>
      <c r="H9" s="284"/>
      <c r="I9" s="285" t="s">
        <v>99</v>
      </c>
      <c r="J9" s="285" t="s">
        <v>14</v>
      </c>
      <c r="K9" s="284"/>
      <c r="L9" s="285" t="s">
        <v>99</v>
      </c>
      <c r="M9" s="285" t="s">
        <v>14</v>
      </c>
      <c r="N9" s="284"/>
      <c r="O9" s="285" t="s">
        <v>9</v>
      </c>
      <c r="P9" s="285" t="s">
        <v>17</v>
      </c>
      <c r="Q9" s="284"/>
      <c r="R9" s="284"/>
      <c r="S9" s="284"/>
      <c r="T9" s="284"/>
      <c r="U9" s="284"/>
      <c r="V9" s="284"/>
    </row>
    <row r="10" spans="1:22" ht="21" customHeight="1">
      <c r="A10" s="286" t="s">
        <v>6</v>
      </c>
      <c r="B10" s="286" t="s">
        <v>23</v>
      </c>
      <c r="C10" s="287" t="s">
        <v>10</v>
      </c>
      <c r="D10" s="287" t="s">
        <v>18</v>
      </c>
      <c r="E10" s="287" t="s">
        <v>27</v>
      </c>
      <c r="F10" s="287" t="s">
        <v>28</v>
      </c>
      <c r="G10" s="287" t="s">
        <v>29</v>
      </c>
      <c r="H10" s="287" t="s">
        <v>30</v>
      </c>
      <c r="I10" s="287" t="s">
        <v>31</v>
      </c>
      <c r="J10" s="287" t="s">
        <v>32</v>
      </c>
      <c r="K10" s="287" t="s">
        <v>33</v>
      </c>
      <c r="L10" s="287" t="s">
        <v>34</v>
      </c>
      <c r="M10" s="287" t="s">
        <v>35</v>
      </c>
      <c r="N10" s="287" t="s">
        <v>36</v>
      </c>
      <c r="O10" s="287" t="s">
        <v>37</v>
      </c>
      <c r="P10" s="287" t="s">
        <v>38</v>
      </c>
      <c r="Q10" s="287" t="s">
        <v>39</v>
      </c>
      <c r="R10" s="287" t="s">
        <v>40</v>
      </c>
      <c r="S10" s="287" t="s">
        <v>509</v>
      </c>
      <c r="T10" s="287" t="s">
        <v>510</v>
      </c>
      <c r="U10" s="287" t="s">
        <v>511</v>
      </c>
      <c r="V10" s="287" t="s">
        <v>116</v>
      </c>
    </row>
    <row r="11" spans="1:22" s="68" customFormat="1" ht="29.25" customHeight="1">
      <c r="A11" s="285"/>
      <c r="B11" s="285" t="s">
        <v>100</v>
      </c>
      <c r="C11" s="288">
        <f t="shared" ref="C11:F11" si="0">SUM(C12:C23)</f>
        <v>107324</v>
      </c>
      <c r="D11" s="288">
        <f>SUM(D12:D23)</f>
        <v>900</v>
      </c>
      <c r="E11" s="288">
        <f t="shared" si="0"/>
        <v>73519</v>
      </c>
      <c r="F11" s="288">
        <f t="shared" si="0"/>
        <v>32905</v>
      </c>
      <c r="G11" s="288">
        <f>SUM(G12:G23)</f>
        <v>136824.70388599997</v>
      </c>
      <c r="H11" s="288">
        <f t="shared" ref="H11:R11" si="1">SUM(H12:H23)</f>
        <v>1319.9631640000002</v>
      </c>
      <c r="I11" s="288">
        <f t="shared" si="1"/>
        <v>0</v>
      </c>
      <c r="J11" s="288">
        <f t="shared" si="1"/>
        <v>0</v>
      </c>
      <c r="K11" s="288">
        <f>SUM(K12:K23)</f>
        <v>77449.984937000001</v>
      </c>
      <c r="L11" s="288">
        <f t="shared" si="1"/>
        <v>175.01000000000002</v>
      </c>
      <c r="M11" s="288">
        <f t="shared" si="1"/>
        <v>0</v>
      </c>
      <c r="N11" s="288">
        <f t="shared" si="1"/>
        <v>18382.861865000003</v>
      </c>
      <c r="O11" s="288">
        <f t="shared" si="1"/>
        <v>212.01849999999999</v>
      </c>
      <c r="P11" s="288">
        <f t="shared" si="1"/>
        <v>18170.843365000001</v>
      </c>
      <c r="Q11" s="288">
        <f t="shared" si="1"/>
        <v>38656.587783000003</v>
      </c>
      <c r="R11" s="288">
        <f t="shared" si="1"/>
        <v>1015.306137</v>
      </c>
      <c r="S11" s="289">
        <f>G11/C11</f>
        <v>1.2748751806306136</v>
      </c>
      <c r="T11" s="289">
        <f>H11/D11</f>
        <v>1.466625737777778</v>
      </c>
      <c r="U11" s="289">
        <f>K11/E11</f>
        <v>1.053468966348835</v>
      </c>
      <c r="V11" s="289">
        <f>N11/F11</f>
        <v>0.55866469731043922</v>
      </c>
    </row>
    <row r="12" spans="1:22" ht="24.95" customHeight="1">
      <c r="A12" s="286" t="s">
        <v>10</v>
      </c>
      <c r="B12" s="290" t="s">
        <v>373</v>
      </c>
      <c r="C12" s="291">
        <f>SUM(D12:F12)</f>
        <v>6829.7999999999993</v>
      </c>
      <c r="D12" s="291">
        <v>5</v>
      </c>
      <c r="E12" s="291">
        <f>4246.5+734.9</f>
        <v>4981.3999999999996</v>
      </c>
      <c r="F12" s="291">
        <f>'59'!J12</f>
        <v>1843.4</v>
      </c>
      <c r="G12" s="291">
        <f>H12+K12+N12+Q12+R12</f>
        <v>8293.1916770000007</v>
      </c>
      <c r="H12" s="291">
        <v>175.58</v>
      </c>
      <c r="I12" s="291"/>
      <c r="J12" s="291"/>
      <c r="K12" s="291">
        <f>6060.510567-P12</f>
        <v>4942.4399530000001</v>
      </c>
      <c r="L12" s="291">
        <v>3.95</v>
      </c>
      <c r="M12" s="291">
        <v>0</v>
      </c>
      <c r="N12" s="291">
        <f>O12+P12</f>
        <v>1118.070614</v>
      </c>
      <c r="O12" s="291"/>
      <c r="P12" s="291">
        <v>1118.070614</v>
      </c>
      <c r="Q12" s="291">
        <v>2057.1011100000001</v>
      </c>
      <c r="R12" s="291"/>
      <c r="S12" s="292">
        <f>G12/C12</f>
        <v>1.2142656705906472</v>
      </c>
      <c r="T12" s="292">
        <f>H12/D12</f>
        <v>35.116</v>
      </c>
      <c r="U12" s="292">
        <f>K12/E12</f>
        <v>0.99217889609346777</v>
      </c>
      <c r="V12" s="292">
        <f>N12/F12</f>
        <v>0.60652631767386345</v>
      </c>
    </row>
    <row r="13" spans="1:22" ht="24.95" customHeight="1">
      <c r="A13" s="286" t="s">
        <v>18</v>
      </c>
      <c r="B13" s="290" t="s">
        <v>230</v>
      </c>
      <c r="C13" s="291">
        <f t="shared" ref="C13:C23" si="2">SUM(D13:F13)</f>
        <v>6810.6</v>
      </c>
      <c r="D13" s="291"/>
      <c r="E13" s="291">
        <f>3939.5+286.1</f>
        <v>4225.6000000000004</v>
      </c>
      <c r="F13" s="291">
        <f>'59'!J13</f>
        <v>2585</v>
      </c>
      <c r="G13" s="291">
        <f t="shared" ref="G13:G21" si="3">H13+K13+N13+Q13+R13</f>
        <v>8121.9657699999998</v>
      </c>
      <c r="H13" s="291">
        <f>211.084-O13</f>
        <v>78.574000000000012</v>
      </c>
      <c r="I13" s="291"/>
      <c r="J13" s="291"/>
      <c r="K13" s="291">
        <f>6194.681786-P13</f>
        <v>4559.9003720000001</v>
      </c>
      <c r="L13" s="291">
        <f>18.00279-6.09279</f>
        <v>11.91</v>
      </c>
      <c r="M13" s="291">
        <v>0</v>
      </c>
      <c r="N13" s="291">
        <f t="shared" ref="N13:N23" si="4">O13+P13</f>
        <v>1767.291414</v>
      </c>
      <c r="O13" s="291">
        <v>132.51</v>
      </c>
      <c r="P13" s="291">
        <v>1634.781414</v>
      </c>
      <c r="Q13" s="291">
        <v>1716.1999840000001</v>
      </c>
      <c r="R13" s="291"/>
      <c r="S13" s="292">
        <f t="shared" ref="S13:S23" si="5">G13/C13</f>
        <v>1.1925477593750917</v>
      </c>
      <c r="T13" s="292"/>
      <c r="U13" s="292">
        <f t="shared" ref="U13:U23" si="6">K13/E13</f>
        <v>1.0791131134040135</v>
      </c>
      <c r="V13" s="292">
        <f t="shared" ref="V13:V23" si="7">N13/F13</f>
        <v>0.68367172688588007</v>
      </c>
    </row>
    <row r="14" spans="1:22" ht="24.95" customHeight="1">
      <c r="A14" s="286" t="s">
        <v>27</v>
      </c>
      <c r="B14" s="290" t="s">
        <v>237</v>
      </c>
      <c r="C14" s="291">
        <f t="shared" si="2"/>
        <v>11268.099999999999</v>
      </c>
      <c r="D14" s="291"/>
      <c r="E14" s="291">
        <f>6995.5+495.9</f>
        <v>7491.4</v>
      </c>
      <c r="F14" s="291">
        <f>'59'!J14</f>
        <v>3776.7</v>
      </c>
      <c r="G14" s="291">
        <f t="shared" si="3"/>
        <v>16082.430340000001</v>
      </c>
      <c r="H14" s="291">
        <f>223.874773-O14</f>
        <v>177.496273</v>
      </c>
      <c r="I14" s="291"/>
      <c r="J14" s="291"/>
      <c r="K14" s="291">
        <f>11243.575285-P14</f>
        <v>7973.4332450000002</v>
      </c>
      <c r="L14" s="291">
        <v>44.04</v>
      </c>
      <c r="M14" s="291">
        <v>0</v>
      </c>
      <c r="N14" s="291">
        <f t="shared" si="4"/>
        <v>3316.52054</v>
      </c>
      <c r="O14" s="291">
        <v>46.378500000000003</v>
      </c>
      <c r="P14" s="291">
        <v>3270.1420400000002</v>
      </c>
      <c r="Q14" s="291">
        <v>4614.9802820000004</v>
      </c>
      <c r="R14" s="291"/>
      <c r="S14" s="292">
        <f t="shared" si="5"/>
        <v>1.4272530719464687</v>
      </c>
      <c r="T14" s="292"/>
      <c r="U14" s="292">
        <f t="shared" si="6"/>
        <v>1.0643448814640788</v>
      </c>
      <c r="V14" s="292">
        <f t="shared" si="7"/>
        <v>0.87815302777557125</v>
      </c>
    </row>
    <row r="15" spans="1:22" ht="24.95" customHeight="1">
      <c r="A15" s="286" t="s">
        <v>28</v>
      </c>
      <c r="B15" s="290" t="s">
        <v>228</v>
      </c>
      <c r="C15" s="291">
        <f t="shared" si="2"/>
        <v>9907.4</v>
      </c>
      <c r="D15" s="291">
        <v>720</v>
      </c>
      <c r="E15" s="291">
        <f>5412.5+398.9</f>
        <v>5811.4</v>
      </c>
      <c r="F15" s="291">
        <f>'59'!J15</f>
        <v>3376</v>
      </c>
      <c r="G15" s="291">
        <f t="shared" si="3"/>
        <v>12616.892820000001</v>
      </c>
      <c r="H15" s="291">
        <v>197.005</v>
      </c>
      <c r="I15" s="291"/>
      <c r="J15" s="291"/>
      <c r="K15" s="291">
        <f>8123.96842-P15</f>
        <v>6391.3314200000004</v>
      </c>
      <c r="L15" s="291">
        <f>29.1-25</f>
        <v>4.1000000000000014</v>
      </c>
      <c r="M15" s="291">
        <v>0</v>
      </c>
      <c r="N15" s="291">
        <f t="shared" si="4"/>
        <v>1732.6369999999999</v>
      </c>
      <c r="O15" s="291"/>
      <c r="P15" s="291">
        <v>1732.6369999999999</v>
      </c>
      <c r="Q15" s="291">
        <v>4295.9193999999998</v>
      </c>
      <c r="R15" s="291"/>
      <c r="S15" s="292">
        <f t="shared" si="5"/>
        <v>1.27348172275269</v>
      </c>
      <c r="T15" s="292">
        <f t="shared" ref="T15:T23" si="8">H15/D15</f>
        <v>0.27361805555555557</v>
      </c>
      <c r="U15" s="292">
        <f t="shared" si="6"/>
        <v>1.0997920329008501</v>
      </c>
      <c r="V15" s="292">
        <f t="shared" si="7"/>
        <v>0.5132218601895735</v>
      </c>
    </row>
    <row r="16" spans="1:22" ht="24.95" customHeight="1">
      <c r="A16" s="286" t="s">
        <v>29</v>
      </c>
      <c r="B16" s="290" t="s">
        <v>232</v>
      </c>
      <c r="C16" s="291">
        <f t="shared" si="2"/>
        <v>8219.7999999999993</v>
      </c>
      <c r="D16" s="291">
        <v>150</v>
      </c>
      <c r="E16" s="291">
        <f>5194.5+1143.2</f>
        <v>6337.7</v>
      </c>
      <c r="F16" s="291">
        <f>'59'!J16</f>
        <v>1732.1</v>
      </c>
      <c r="G16" s="291">
        <f t="shared" si="3"/>
        <v>10506.035241</v>
      </c>
      <c r="H16" s="291">
        <f>182.877-O16</f>
        <v>149.74700000000001</v>
      </c>
      <c r="I16" s="291"/>
      <c r="J16" s="291"/>
      <c r="K16" s="291">
        <f>8352.300698-P16</f>
        <v>7259.4550179999987</v>
      </c>
      <c r="L16" s="291">
        <f>31.16-23.2</f>
        <v>7.9600000000000009</v>
      </c>
      <c r="M16" s="291">
        <v>0</v>
      </c>
      <c r="N16" s="291">
        <f t="shared" si="4"/>
        <v>1125.97568</v>
      </c>
      <c r="O16" s="291">
        <v>33.130000000000003</v>
      </c>
      <c r="P16" s="291">
        <v>1092.8456799999999</v>
      </c>
      <c r="Q16" s="291">
        <v>1970.8575430000001</v>
      </c>
      <c r="R16" s="291"/>
      <c r="S16" s="292">
        <f t="shared" si="5"/>
        <v>1.2781375752451398</v>
      </c>
      <c r="T16" s="292">
        <f t="shared" si="8"/>
        <v>0.99831333333333339</v>
      </c>
      <c r="U16" s="292">
        <f t="shared" si="6"/>
        <v>1.1454399889549836</v>
      </c>
      <c r="V16" s="292">
        <f t="shared" si="7"/>
        <v>0.6500638993129727</v>
      </c>
    </row>
    <row r="17" spans="1:22" ht="24.95" customHeight="1">
      <c r="A17" s="286" t="s">
        <v>30</v>
      </c>
      <c r="B17" s="290" t="s">
        <v>231</v>
      </c>
      <c r="C17" s="291">
        <f t="shared" si="2"/>
        <v>9340</v>
      </c>
      <c r="D17" s="291"/>
      <c r="E17" s="291">
        <f>5974.5+322.9</f>
        <v>6297.4</v>
      </c>
      <c r="F17" s="291">
        <f>'59'!J17</f>
        <v>3042.6</v>
      </c>
      <c r="G17" s="291">
        <f t="shared" si="3"/>
        <v>11188.167931</v>
      </c>
      <c r="H17" s="291">
        <v>50.731166999999999</v>
      </c>
      <c r="I17" s="291"/>
      <c r="J17" s="291"/>
      <c r="K17" s="291">
        <f>8204.993219-P17</f>
        <v>6840.1057190000001</v>
      </c>
      <c r="L17" s="291">
        <f>165.051-157.751</f>
        <v>7.2999999999999829</v>
      </c>
      <c r="M17" s="291">
        <v>0</v>
      </c>
      <c r="N17" s="291">
        <f t="shared" si="4"/>
        <v>1364.8875</v>
      </c>
      <c r="O17" s="291"/>
      <c r="P17" s="291">
        <v>1364.8875</v>
      </c>
      <c r="Q17" s="291">
        <v>2932.4435450000001</v>
      </c>
      <c r="R17" s="291"/>
      <c r="S17" s="292">
        <f t="shared" si="5"/>
        <v>1.1978766521413275</v>
      </c>
      <c r="T17" s="292"/>
      <c r="U17" s="292">
        <f t="shared" si="6"/>
        <v>1.0861793309937435</v>
      </c>
      <c r="V17" s="292">
        <f t="shared" si="7"/>
        <v>0.44859248668901602</v>
      </c>
    </row>
    <row r="18" spans="1:22" ht="24.95" customHeight="1">
      <c r="A18" s="286" t="s">
        <v>31</v>
      </c>
      <c r="B18" s="290" t="s">
        <v>229</v>
      </c>
      <c r="C18" s="291">
        <f t="shared" si="2"/>
        <v>8886.1</v>
      </c>
      <c r="D18" s="291"/>
      <c r="E18" s="291">
        <f>5721.5+305.6</f>
        <v>6027.1</v>
      </c>
      <c r="F18" s="291">
        <f>'59'!J18</f>
        <v>2859</v>
      </c>
      <c r="G18" s="291">
        <f t="shared" si="3"/>
        <v>10971.281993000001</v>
      </c>
      <c r="H18" s="291">
        <v>110.858</v>
      </c>
      <c r="I18" s="291"/>
      <c r="J18" s="291"/>
      <c r="K18" s="291">
        <f>7941.695303-P18</f>
        <v>6699.9099630000001</v>
      </c>
      <c r="L18" s="291">
        <f>80.115-25</f>
        <v>55.114999999999995</v>
      </c>
      <c r="M18" s="291">
        <v>0</v>
      </c>
      <c r="N18" s="291">
        <f t="shared" si="4"/>
        <v>1241.7853399999999</v>
      </c>
      <c r="O18" s="291"/>
      <c r="P18" s="291">
        <v>1241.7853399999999</v>
      </c>
      <c r="Q18" s="291">
        <v>2918.7286899999999</v>
      </c>
      <c r="R18" s="291"/>
      <c r="S18" s="292">
        <f t="shared" si="5"/>
        <v>1.2346565977200348</v>
      </c>
      <c r="T18" s="292"/>
      <c r="U18" s="292">
        <f t="shared" si="6"/>
        <v>1.1116307947437407</v>
      </c>
      <c r="V18" s="292">
        <f t="shared" si="7"/>
        <v>0.43434254634487579</v>
      </c>
    </row>
    <row r="19" spans="1:22" ht="24.95" customHeight="1">
      <c r="A19" s="286" t="s">
        <v>32</v>
      </c>
      <c r="B19" s="290" t="s">
        <v>235</v>
      </c>
      <c r="C19" s="291">
        <f t="shared" si="2"/>
        <v>11416.7</v>
      </c>
      <c r="D19" s="291"/>
      <c r="E19" s="291">
        <f>6027.5+1927.6</f>
        <v>7955.1</v>
      </c>
      <c r="F19" s="291">
        <f>'59'!J19</f>
        <v>3461.6</v>
      </c>
      <c r="G19" s="291">
        <f>H19+K19+N19+Q19+R19</f>
        <v>13963.143276999999</v>
      </c>
      <c r="H19" s="291"/>
      <c r="I19" s="291"/>
      <c r="J19" s="291"/>
      <c r="K19" s="291">
        <f>10177.378502-P19</f>
        <v>7946.8926049999991</v>
      </c>
      <c r="L19" s="291">
        <f>31.8-20</f>
        <v>11.8</v>
      </c>
      <c r="M19" s="291">
        <v>0</v>
      </c>
      <c r="N19" s="291">
        <f t="shared" si="4"/>
        <v>2230.485897</v>
      </c>
      <c r="O19" s="291"/>
      <c r="P19" s="291">
        <v>2230.485897</v>
      </c>
      <c r="Q19" s="291">
        <v>3440.4586380000001</v>
      </c>
      <c r="R19" s="291">
        <v>345.30613699999998</v>
      </c>
      <c r="S19" s="292">
        <f t="shared" si="5"/>
        <v>1.2230454752248896</v>
      </c>
      <c r="T19" s="292"/>
      <c r="U19" s="292">
        <f t="shared" si="6"/>
        <v>0.99896828512526537</v>
      </c>
      <c r="V19" s="292">
        <f t="shared" si="7"/>
        <v>0.64435113733533633</v>
      </c>
    </row>
    <row r="20" spans="1:22" ht="24.95" customHeight="1">
      <c r="A20" s="286" t="s">
        <v>33</v>
      </c>
      <c r="B20" s="290" t="s">
        <v>233</v>
      </c>
      <c r="C20" s="291">
        <f t="shared" si="2"/>
        <v>9493</v>
      </c>
      <c r="D20" s="291">
        <v>5</v>
      </c>
      <c r="E20" s="291">
        <f>5044.5+806.6</f>
        <v>5851.1</v>
      </c>
      <c r="F20" s="291">
        <f>'59'!J20</f>
        <v>3636.9</v>
      </c>
      <c r="G20" s="291">
        <f t="shared" si="3"/>
        <v>12178.596888999999</v>
      </c>
      <c r="H20" s="291">
        <v>57.921999999999997</v>
      </c>
      <c r="I20" s="291"/>
      <c r="J20" s="291"/>
      <c r="K20" s="291">
        <f>8660.026251-P20</f>
        <v>6277.3182509999988</v>
      </c>
      <c r="L20" s="291">
        <f>59.398-44.798</f>
        <v>14.600000000000001</v>
      </c>
      <c r="M20" s="291">
        <v>0</v>
      </c>
      <c r="N20" s="291">
        <f t="shared" si="4"/>
        <v>2382.7080000000001</v>
      </c>
      <c r="O20" s="291"/>
      <c r="P20" s="291">
        <v>2382.7080000000001</v>
      </c>
      <c r="Q20" s="291">
        <v>3460.6486380000001</v>
      </c>
      <c r="R20" s="291"/>
      <c r="S20" s="292">
        <f t="shared" si="5"/>
        <v>1.282902864110397</v>
      </c>
      <c r="T20" s="292">
        <f t="shared" si="8"/>
        <v>11.584399999999999</v>
      </c>
      <c r="U20" s="292">
        <f t="shared" si="6"/>
        <v>1.0728441234981454</v>
      </c>
      <c r="V20" s="292">
        <f t="shared" si="7"/>
        <v>0.65514806566031514</v>
      </c>
    </row>
    <row r="21" spans="1:22" ht="24.95" customHeight="1">
      <c r="A21" s="286" t="s">
        <v>34</v>
      </c>
      <c r="B21" s="290" t="s">
        <v>236</v>
      </c>
      <c r="C21" s="291">
        <f t="shared" si="2"/>
        <v>10811</v>
      </c>
      <c r="D21" s="291"/>
      <c r="E21" s="291">
        <f>6078.5+1714.9</f>
        <v>7793.4</v>
      </c>
      <c r="F21" s="291">
        <f>'59'!J21</f>
        <v>3017.6</v>
      </c>
      <c r="G21" s="291">
        <f t="shared" si="3"/>
        <v>13955.350157999999</v>
      </c>
      <c r="H21" s="291">
        <v>135.08000000000001</v>
      </c>
      <c r="I21" s="291"/>
      <c r="J21" s="291"/>
      <c r="K21" s="291">
        <f>8710.527198-P21</f>
        <v>7716.8047980000001</v>
      </c>
      <c r="L21" s="291">
        <f>27.885-25.585</f>
        <v>2.3000000000000007</v>
      </c>
      <c r="M21" s="291">
        <v>0</v>
      </c>
      <c r="N21" s="291">
        <f t="shared" si="4"/>
        <v>993.72239999999999</v>
      </c>
      <c r="O21" s="291"/>
      <c r="P21" s="291">
        <v>993.72239999999999</v>
      </c>
      <c r="Q21" s="291">
        <v>4779.7429599999996</v>
      </c>
      <c r="R21" s="291">
        <v>330</v>
      </c>
      <c r="S21" s="292">
        <f t="shared" si="5"/>
        <v>1.2908472997872538</v>
      </c>
      <c r="T21" s="292"/>
      <c r="U21" s="292">
        <f t="shared" si="6"/>
        <v>0.99017178612672263</v>
      </c>
      <c r="V21" s="292">
        <f t="shared" si="7"/>
        <v>0.32930885471898197</v>
      </c>
    </row>
    <row r="22" spans="1:22" ht="24.95" customHeight="1">
      <c r="A22" s="286" t="s">
        <v>35</v>
      </c>
      <c r="B22" s="290" t="s">
        <v>234</v>
      </c>
      <c r="C22" s="291">
        <f t="shared" si="2"/>
        <v>6990.7000000000007</v>
      </c>
      <c r="D22" s="291"/>
      <c r="E22" s="291">
        <f>3543.5+809.6</f>
        <v>4353.1000000000004</v>
      </c>
      <c r="F22" s="291">
        <f>'59'!J22</f>
        <v>2637.6</v>
      </c>
      <c r="G22" s="291">
        <f>H22+K22+N22+Q22+R22</f>
        <v>9240.0261280000013</v>
      </c>
      <c r="H22" s="291">
        <v>87.240724</v>
      </c>
      <c r="I22" s="291"/>
      <c r="J22" s="291"/>
      <c r="K22" s="291">
        <f>5432.756712-P22</f>
        <v>4519.5892320000003</v>
      </c>
      <c r="L22" s="291">
        <f>27.335-16</f>
        <v>11.335000000000001</v>
      </c>
      <c r="M22" s="291">
        <v>0</v>
      </c>
      <c r="N22" s="291">
        <f t="shared" si="4"/>
        <v>913.16747999999995</v>
      </c>
      <c r="O22" s="291"/>
      <c r="P22" s="291">
        <v>913.16747999999995</v>
      </c>
      <c r="Q22" s="291">
        <v>3380.0286919999999</v>
      </c>
      <c r="R22" s="291">
        <v>340</v>
      </c>
      <c r="S22" s="292">
        <f t="shared" si="5"/>
        <v>1.3217597848570244</v>
      </c>
      <c r="T22" s="292"/>
      <c r="U22" s="292">
        <f t="shared" si="6"/>
        <v>1.0382461308033355</v>
      </c>
      <c r="V22" s="292">
        <f t="shared" si="7"/>
        <v>0.34621151046405824</v>
      </c>
    </row>
    <row r="23" spans="1:22" ht="24.95" customHeight="1">
      <c r="A23" s="286" t="s">
        <v>36</v>
      </c>
      <c r="B23" s="290" t="s">
        <v>238</v>
      </c>
      <c r="C23" s="291">
        <f t="shared" si="2"/>
        <v>7350.8</v>
      </c>
      <c r="D23" s="291">
        <v>20</v>
      </c>
      <c r="E23" s="291">
        <f>5708.5+685.8</f>
        <v>6394.3</v>
      </c>
      <c r="F23" s="291">
        <f>'59'!J23</f>
        <v>936.5</v>
      </c>
      <c r="G23" s="291">
        <f>H23+K23+N23+Q23</f>
        <v>9707.6216620000014</v>
      </c>
      <c r="H23" s="291">
        <v>99.728999999999999</v>
      </c>
      <c r="I23" s="291"/>
      <c r="J23" s="291"/>
      <c r="K23" s="291">
        <f>6518.414361-P23</f>
        <v>6322.8043610000004</v>
      </c>
      <c r="L23" s="291">
        <f>13.35-12.75</f>
        <v>0.59999999999999964</v>
      </c>
      <c r="M23" s="291">
        <v>0</v>
      </c>
      <c r="N23" s="291">
        <f t="shared" si="4"/>
        <v>195.61</v>
      </c>
      <c r="O23" s="291"/>
      <c r="P23" s="291">
        <v>195.61</v>
      </c>
      <c r="Q23" s="291">
        <v>3089.4783010000001</v>
      </c>
      <c r="R23" s="291"/>
      <c r="S23" s="292">
        <f t="shared" si="5"/>
        <v>1.3206211108994941</v>
      </c>
      <c r="T23" s="292">
        <f t="shared" si="8"/>
        <v>4.9864499999999996</v>
      </c>
      <c r="U23" s="292">
        <f t="shared" si="6"/>
        <v>0.98881884819292187</v>
      </c>
      <c r="V23" s="292">
        <f t="shared" si="7"/>
        <v>0.20887346502936466</v>
      </c>
    </row>
    <row r="24" spans="1:22" ht="8.25" customHeight="1">
      <c r="A24" s="142"/>
      <c r="B24" s="142"/>
      <c r="C24" s="143"/>
      <c r="D24" s="143"/>
      <c r="E24" s="143"/>
      <c r="F24" s="143"/>
      <c r="G24" s="143"/>
      <c r="H24" s="143"/>
      <c r="I24" s="143"/>
      <c r="J24" s="143"/>
      <c r="K24" s="143"/>
      <c r="L24" s="143"/>
      <c r="M24" s="143"/>
      <c r="N24" s="143"/>
      <c r="O24" s="143"/>
      <c r="P24" s="143"/>
      <c r="Q24" s="143"/>
      <c r="R24" s="143"/>
      <c r="S24" s="144"/>
      <c r="T24" s="144"/>
      <c r="U24" s="144"/>
      <c r="V24" s="144"/>
    </row>
    <row r="25" spans="1:22" ht="15" customHeight="1">
      <c r="A25" s="145" t="s">
        <v>554</v>
      </c>
    </row>
    <row r="26" spans="1:22">
      <c r="A26" s="183" t="s">
        <v>0</v>
      </c>
      <c r="B26" s="183"/>
      <c r="C26" s="183"/>
      <c r="D26" s="183"/>
      <c r="E26" s="183"/>
      <c r="F26" s="183"/>
      <c r="G26" s="183"/>
      <c r="H26" s="183"/>
      <c r="I26" s="183"/>
      <c r="J26" s="183"/>
      <c r="K26" s="183"/>
      <c r="L26" s="183"/>
      <c r="M26" s="183"/>
      <c r="N26" s="183"/>
      <c r="O26" s="183"/>
      <c r="P26" s="183"/>
      <c r="Q26" s="183"/>
      <c r="R26" s="183"/>
      <c r="S26" s="183"/>
      <c r="T26" s="183"/>
      <c r="U26" s="183"/>
      <c r="V26" s="183"/>
    </row>
    <row r="27" spans="1:22">
      <c r="A27" s="183" t="s">
        <v>0</v>
      </c>
      <c r="B27" s="183"/>
      <c r="C27" s="183"/>
      <c r="D27" s="183"/>
      <c r="E27" s="183"/>
      <c r="F27" s="183"/>
      <c r="G27" s="183"/>
      <c r="H27" s="183"/>
      <c r="I27" s="183"/>
      <c r="J27" s="183"/>
      <c r="K27" s="183"/>
      <c r="L27" s="183"/>
      <c r="M27" s="183"/>
      <c r="N27" s="183"/>
      <c r="O27" s="183"/>
      <c r="P27" s="183"/>
      <c r="Q27" s="183"/>
      <c r="R27" s="183"/>
      <c r="S27" s="183"/>
      <c r="T27" s="183"/>
      <c r="U27" s="183"/>
      <c r="V27" s="183"/>
    </row>
  </sheetData>
  <mergeCells count="30">
    <mergeCell ref="A26:V26"/>
    <mergeCell ref="A27:V27"/>
    <mergeCell ref="V7:V9"/>
    <mergeCell ref="H8:H9"/>
    <mergeCell ref="I8:J8"/>
    <mergeCell ref="K8:K9"/>
    <mergeCell ref="L8:M8"/>
    <mergeCell ref="N8:N9"/>
    <mergeCell ref="O8:P8"/>
    <mergeCell ref="S7:S9"/>
    <mergeCell ref="A6:A9"/>
    <mergeCell ref="B6:B9"/>
    <mergeCell ref="C6:F6"/>
    <mergeCell ref="S6:V6"/>
    <mergeCell ref="R7:R9"/>
    <mergeCell ref="A2:V2"/>
    <mergeCell ref="A3:V3"/>
    <mergeCell ref="G6:R6"/>
    <mergeCell ref="U7:U9"/>
    <mergeCell ref="T4:V5"/>
    <mergeCell ref="H7:J7"/>
    <mergeCell ref="K7:M7"/>
    <mergeCell ref="N7:P7"/>
    <mergeCell ref="Q7:Q9"/>
    <mergeCell ref="T7:T9"/>
    <mergeCell ref="C7:C9"/>
    <mergeCell ref="D7:D9"/>
    <mergeCell ref="E7:E9"/>
    <mergeCell ref="F7:F9"/>
    <mergeCell ref="G7:G9"/>
  </mergeCells>
  <phoneticPr fontId="29" type="noConversion"/>
  <pageMargins left="0.41" right="0.16" top="0.44" bottom="0.55000000000000004" header="0.28000000000000003" footer="0.2"/>
  <pageSetup paperSize="9" scale="61" fitToHeight="0" orientation="landscape" verticalDpi="0" r:id="rId1"/>
  <headerFoot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26"/>
  <sheetViews>
    <sheetView showGridLines="0" showZeros="0" zoomScaleNormal="100" zoomScaleSheetLayoutView="100" workbookViewId="0">
      <selection activeCell="I8" sqref="I8:I9"/>
    </sheetView>
  </sheetViews>
  <sheetFormatPr defaultRowHeight="15"/>
  <cols>
    <col min="1" max="1" width="5.28515625" style="71" customWidth="1"/>
    <col min="2" max="2" width="19.85546875" style="71" customWidth="1"/>
    <col min="3" max="3" width="12.5703125" style="71" customWidth="1"/>
    <col min="4" max="4" width="12.42578125" style="71" customWidth="1"/>
    <col min="5" max="5" width="10.28515625" style="71" customWidth="1"/>
    <col min="6" max="6" width="6.140625" style="71" customWidth="1"/>
    <col min="7" max="7" width="9.28515625" style="71" customWidth="1"/>
    <col min="8" max="8" width="9.85546875" style="71" customWidth="1"/>
    <col min="9" max="9" width="11.140625" style="71" customWidth="1"/>
    <col min="10" max="10" width="10.7109375" style="71" customWidth="1"/>
    <col min="11" max="11" width="11.7109375" style="71" customWidth="1"/>
    <col min="12" max="12" width="11.28515625" style="71" customWidth="1"/>
    <col min="13" max="13" width="10.28515625" style="71" customWidth="1"/>
    <col min="14" max="14" width="4.42578125" style="71" customWidth="1"/>
    <col min="15" max="15" width="9.5703125" style="71" customWidth="1"/>
    <col min="16" max="16" width="9.7109375" style="71" customWidth="1"/>
    <col min="17" max="17" width="11.5703125" style="71" customWidth="1"/>
    <col min="18" max="18" width="10.42578125" style="71" customWidth="1"/>
    <col min="19" max="21" width="10" style="71" customWidth="1"/>
    <col min="22" max="22" width="4.85546875" style="71" customWidth="1"/>
    <col min="23" max="23" width="10" style="71" customWidth="1"/>
    <col min="24" max="24" width="7.5703125" style="71" customWidth="1"/>
    <col min="25" max="25" width="10" style="71" customWidth="1"/>
    <col min="26" max="26" width="8.85546875" style="71" customWidth="1"/>
    <col min="27" max="16384" width="9.140625" style="71"/>
  </cols>
  <sheetData>
    <row r="1" spans="1:26" ht="16.5">
      <c r="A1" s="109" t="s">
        <v>101</v>
      </c>
    </row>
    <row r="2" spans="1:26" ht="15" customHeight="1">
      <c r="B2" s="72"/>
      <c r="C2" s="72"/>
      <c r="D2" s="72"/>
      <c r="E2" s="72"/>
      <c r="F2" s="72"/>
      <c r="G2" s="72"/>
      <c r="H2" s="72"/>
      <c r="I2" s="72"/>
      <c r="J2" s="72"/>
      <c r="K2" s="72"/>
      <c r="L2" s="72"/>
      <c r="M2" s="72"/>
      <c r="N2" s="72"/>
      <c r="O2" s="72"/>
      <c r="P2" s="72"/>
      <c r="Q2" s="72"/>
      <c r="R2" s="72"/>
      <c r="S2" s="72"/>
      <c r="T2" s="72"/>
      <c r="U2" s="72"/>
      <c r="V2" s="72"/>
      <c r="W2" s="72"/>
      <c r="X2" s="72"/>
      <c r="Y2" s="72"/>
      <c r="Z2" s="72"/>
    </row>
    <row r="3" spans="1:26" ht="18.75">
      <c r="A3" s="184" t="s">
        <v>528</v>
      </c>
      <c r="B3" s="184"/>
      <c r="C3" s="184"/>
      <c r="D3" s="184"/>
      <c r="E3" s="184"/>
      <c r="F3" s="184"/>
      <c r="G3" s="184"/>
      <c r="H3" s="184"/>
      <c r="I3" s="184"/>
      <c r="J3" s="184"/>
      <c r="K3" s="184"/>
      <c r="L3" s="184"/>
      <c r="M3" s="184"/>
      <c r="N3" s="184"/>
      <c r="O3" s="184"/>
      <c r="P3" s="184"/>
      <c r="Q3" s="184"/>
      <c r="R3" s="184"/>
      <c r="S3" s="184"/>
      <c r="T3" s="184"/>
      <c r="U3" s="184"/>
      <c r="V3" s="184"/>
      <c r="W3" s="184"/>
      <c r="X3" s="184"/>
      <c r="Y3" s="184"/>
      <c r="Z3" s="184"/>
    </row>
    <row r="4" spans="1:26" ht="18.75">
      <c r="A4" s="185" t="s">
        <v>513</v>
      </c>
      <c r="B4" s="185"/>
      <c r="C4" s="185"/>
      <c r="D4" s="185"/>
      <c r="E4" s="185"/>
      <c r="F4" s="185"/>
      <c r="G4" s="185"/>
      <c r="H4" s="185"/>
      <c r="I4" s="185"/>
      <c r="J4" s="185"/>
      <c r="K4" s="185"/>
      <c r="L4" s="185"/>
      <c r="M4" s="185"/>
      <c r="N4" s="185"/>
      <c r="O4" s="185"/>
      <c r="P4" s="185"/>
      <c r="Q4" s="185"/>
      <c r="R4" s="185"/>
      <c r="S4" s="185"/>
      <c r="T4" s="185"/>
      <c r="U4" s="185"/>
      <c r="V4" s="185"/>
      <c r="W4" s="185"/>
      <c r="X4" s="185"/>
      <c r="Y4" s="185"/>
      <c r="Z4" s="185"/>
    </row>
    <row r="5" spans="1:26" ht="23.25" customHeight="1">
      <c r="A5" s="295" t="s">
        <v>462</v>
      </c>
      <c r="B5" s="295"/>
      <c r="C5" s="295"/>
      <c r="D5" s="295"/>
      <c r="E5" s="295"/>
      <c r="F5" s="295"/>
      <c r="G5" s="295"/>
      <c r="H5" s="295"/>
      <c r="I5" s="295"/>
      <c r="J5" s="295"/>
      <c r="K5" s="295"/>
      <c r="L5" s="295"/>
      <c r="M5" s="295"/>
      <c r="N5" s="295"/>
      <c r="O5" s="295"/>
      <c r="P5" s="295"/>
      <c r="Q5" s="295"/>
      <c r="R5" s="295"/>
      <c r="S5" s="295"/>
      <c r="T5" s="295"/>
      <c r="U5" s="295"/>
      <c r="V5" s="295"/>
      <c r="W5" s="295"/>
      <c r="X5" s="295"/>
      <c r="Y5" s="295"/>
      <c r="Z5" s="295"/>
    </row>
    <row r="6" spans="1:26" ht="21.95" customHeight="1">
      <c r="A6" s="284" t="s">
        <v>1</v>
      </c>
      <c r="B6" s="284" t="s">
        <v>461</v>
      </c>
      <c r="C6" s="284" t="s">
        <v>556</v>
      </c>
      <c r="D6" s="284"/>
      <c r="E6" s="284"/>
      <c r="F6" s="284"/>
      <c r="G6" s="284"/>
      <c r="H6" s="284"/>
      <c r="I6" s="284"/>
      <c r="J6" s="284"/>
      <c r="K6" s="296" t="s">
        <v>4</v>
      </c>
      <c r="L6" s="296"/>
      <c r="M6" s="296" t="s">
        <v>4</v>
      </c>
      <c r="N6" s="296"/>
      <c r="O6" s="296"/>
      <c r="P6" s="296"/>
      <c r="Q6" s="296"/>
      <c r="R6" s="296"/>
      <c r="S6" s="284" t="s">
        <v>102</v>
      </c>
      <c r="T6" s="284"/>
      <c r="U6" s="284"/>
      <c r="V6" s="284"/>
      <c r="W6" s="284"/>
      <c r="X6" s="284"/>
      <c r="Y6" s="284"/>
      <c r="Z6" s="284"/>
    </row>
    <row r="7" spans="1:26" ht="21.95" customHeight="1">
      <c r="A7" s="284"/>
      <c r="B7" s="284"/>
      <c r="C7" s="284" t="s">
        <v>58</v>
      </c>
      <c r="D7" s="284" t="s">
        <v>103</v>
      </c>
      <c r="E7" s="284" t="s">
        <v>104</v>
      </c>
      <c r="F7" s="284"/>
      <c r="G7" s="284"/>
      <c r="H7" s="284"/>
      <c r="I7" s="284"/>
      <c r="J7" s="284"/>
      <c r="K7" s="284" t="s">
        <v>58</v>
      </c>
      <c r="L7" s="284" t="s">
        <v>103</v>
      </c>
      <c r="M7" s="284" t="s">
        <v>104</v>
      </c>
      <c r="N7" s="284"/>
      <c r="O7" s="284"/>
      <c r="P7" s="284"/>
      <c r="Q7" s="284"/>
      <c r="R7" s="284"/>
      <c r="S7" s="284" t="s">
        <v>58</v>
      </c>
      <c r="T7" s="284" t="s">
        <v>103</v>
      </c>
      <c r="U7" s="284" t="s">
        <v>104</v>
      </c>
      <c r="V7" s="284"/>
      <c r="W7" s="284"/>
      <c r="X7" s="284"/>
      <c r="Y7" s="284"/>
      <c r="Z7" s="284"/>
    </row>
    <row r="8" spans="1:26" ht="21.95" customHeight="1">
      <c r="A8" s="284"/>
      <c r="B8" s="284"/>
      <c r="C8" s="284"/>
      <c r="D8" s="284"/>
      <c r="E8" s="284" t="s">
        <v>58</v>
      </c>
      <c r="F8" s="284" t="s">
        <v>105</v>
      </c>
      <c r="G8" s="284"/>
      <c r="H8" s="297" t="s">
        <v>106</v>
      </c>
      <c r="I8" s="284" t="s">
        <v>107</v>
      </c>
      <c r="J8" s="284" t="s">
        <v>108</v>
      </c>
      <c r="K8" s="284"/>
      <c r="L8" s="284"/>
      <c r="M8" s="284" t="s">
        <v>58</v>
      </c>
      <c r="N8" s="284" t="s">
        <v>105</v>
      </c>
      <c r="O8" s="284"/>
      <c r="P8" s="297" t="s">
        <v>106</v>
      </c>
      <c r="Q8" s="284" t="s">
        <v>107</v>
      </c>
      <c r="R8" s="284" t="s">
        <v>108</v>
      </c>
      <c r="S8" s="284"/>
      <c r="T8" s="284"/>
      <c r="U8" s="284" t="s">
        <v>58</v>
      </c>
      <c r="V8" s="284" t="s">
        <v>105</v>
      </c>
      <c r="W8" s="284"/>
      <c r="X8" s="297" t="s">
        <v>106</v>
      </c>
      <c r="Y8" s="284" t="s">
        <v>107</v>
      </c>
      <c r="Z8" s="284" t="s">
        <v>108</v>
      </c>
    </row>
    <row r="9" spans="1:26" ht="114.75" customHeight="1">
      <c r="A9" s="284"/>
      <c r="B9" s="284"/>
      <c r="C9" s="284"/>
      <c r="D9" s="284"/>
      <c r="E9" s="284"/>
      <c r="F9" s="298" t="s">
        <v>109</v>
      </c>
      <c r="G9" s="285" t="s">
        <v>110</v>
      </c>
      <c r="H9" s="297"/>
      <c r="I9" s="284"/>
      <c r="J9" s="284"/>
      <c r="K9" s="284"/>
      <c r="L9" s="284"/>
      <c r="M9" s="284"/>
      <c r="N9" s="298" t="s">
        <v>109</v>
      </c>
      <c r="O9" s="285" t="s">
        <v>110</v>
      </c>
      <c r="P9" s="297"/>
      <c r="Q9" s="284"/>
      <c r="R9" s="284"/>
      <c r="S9" s="284"/>
      <c r="T9" s="284"/>
      <c r="U9" s="284"/>
      <c r="V9" s="298" t="s">
        <v>109</v>
      </c>
      <c r="W9" s="285" t="s">
        <v>110</v>
      </c>
      <c r="X9" s="297"/>
      <c r="Y9" s="284"/>
      <c r="Z9" s="284"/>
    </row>
    <row r="10" spans="1:26" ht="42.75">
      <c r="A10" s="285" t="s">
        <v>6</v>
      </c>
      <c r="B10" s="285" t="s">
        <v>23</v>
      </c>
      <c r="C10" s="285" t="s">
        <v>10</v>
      </c>
      <c r="D10" s="285" t="s">
        <v>18</v>
      </c>
      <c r="E10" s="285" t="s">
        <v>111</v>
      </c>
      <c r="F10" s="285" t="s">
        <v>28</v>
      </c>
      <c r="G10" s="285" t="s">
        <v>29</v>
      </c>
      <c r="H10" s="285" t="s">
        <v>30</v>
      </c>
      <c r="I10" s="285" t="s">
        <v>31</v>
      </c>
      <c r="J10" s="285" t="s">
        <v>32</v>
      </c>
      <c r="K10" s="285" t="s">
        <v>33</v>
      </c>
      <c r="L10" s="285" t="s">
        <v>34</v>
      </c>
      <c r="M10" s="285" t="s">
        <v>112</v>
      </c>
      <c r="N10" s="285" t="s">
        <v>36</v>
      </c>
      <c r="O10" s="285" t="s">
        <v>37</v>
      </c>
      <c r="P10" s="285" t="s">
        <v>38</v>
      </c>
      <c r="Q10" s="285" t="s">
        <v>39</v>
      </c>
      <c r="R10" s="285" t="s">
        <v>40</v>
      </c>
      <c r="S10" s="285" t="s">
        <v>113</v>
      </c>
      <c r="T10" s="285" t="s">
        <v>114</v>
      </c>
      <c r="U10" s="285" t="s">
        <v>115</v>
      </c>
      <c r="V10" s="285" t="s">
        <v>116</v>
      </c>
      <c r="W10" s="285" t="s">
        <v>117</v>
      </c>
      <c r="X10" s="285" t="s">
        <v>118</v>
      </c>
      <c r="Y10" s="285" t="s">
        <v>119</v>
      </c>
      <c r="Z10" s="285" t="s">
        <v>120</v>
      </c>
    </row>
    <row r="11" spans="1:26" s="293" customFormat="1" ht="27.75" customHeight="1">
      <c r="A11" s="299"/>
      <c r="B11" s="285" t="s">
        <v>94</v>
      </c>
      <c r="C11" s="288">
        <f>SUM(C12:C23)</f>
        <v>106992</v>
      </c>
      <c r="D11" s="288">
        <f>SUM(D12:D23)</f>
        <v>64455</v>
      </c>
      <c r="E11" s="288">
        <f>SUM(E12:E23)</f>
        <v>42537</v>
      </c>
      <c r="F11" s="288">
        <f>SUM(F12:F23)</f>
        <v>0</v>
      </c>
      <c r="G11" s="288">
        <f>SUM(G12:G23)</f>
        <v>42537</v>
      </c>
      <c r="H11" s="288">
        <f t="shared" ref="H11:R11" si="0">SUM(H12:H23)</f>
        <v>0</v>
      </c>
      <c r="I11" s="288">
        <f t="shared" si="0"/>
        <v>9632</v>
      </c>
      <c r="J11" s="288">
        <f t="shared" si="0"/>
        <v>32905</v>
      </c>
      <c r="K11" s="288">
        <f t="shared" si="0"/>
        <v>115094.768419</v>
      </c>
      <c r="L11" s="288">
        <f t="shared" si="0"/>
        <v>66504.565239999996</v>
      </c>
      <c r="M11" s="288">
        <f t="shared" si="0"/>
        <v>48590.203178999996</v>
      </c>
      <c r="N11" s="288">
        <f t="shared" si="0"/>
        <v>0</v>
      </c>
      <c r="O11" s="288">
        <f t="shared" si="0"/>
        <v>48590.203178999996</v>
      </c>
      <c r="P11" s="288">
        <f t="shared" si="0"/>
        <v>0</v>
      </c>
      <c r="Q11" s="288">
        <f t="shared" si="0"/>
        <v>11268.971490000002</v>
      </c>
      <c r="R11" s="288">
        <f t="shared" si="0"/>
        <v>37321.231689</v>
      </c>
      <c r="S11" s="300">
        <f t="shared" ref="S11:S23" si="1">K11/C11</f>
        <v>1.0757324698949453</v>
      </c>
      <c r="T11" s="300">
        <f t="shared" ref="T11:T23" si="2">L11/D11</f>
        <v>1.0317983901947094</v>
      </c>
      <c r="U11" s="300">
        <f t="shared" ref="U11:U23" si="3">M11/E11</f>
        <v>1.1423044215388956</v>
      </c>
      <c r="V11" s="300"/>
      <c r="W11" s="300">
        <f>O11/G11</f>
        <v>1.1423044215388956</v>
      </c>
      <c r="X11" s="300"/>
      <c r="Y11" s="300">
        <f>Q11/I11</f>
        <v>1.1699513590116282</v>
      </c>
      <c r="Z11" s="300">
        <f>R11/J11</f>
        <v>1.1342115693359671</v>
      </c>
    </row>
    <row r="12" spans="1:26" ht="24" customHeight="1">
      <c r="A12" s="286" t="s">
        <v>10</v>
      </c>
      <c r="B12" s="290" t="s">
        <v>373</v>
      </c>
      <c r="C12" s="291">
        <f t="shared" ref="C12:C23" si="4">D12+E12</f>
        <v>6876.8</v>
      </c>
      <c r="D12" s="291">
        <v>4298.5</v>
      </c>
      <c r="E12" s="291">
        <f t="shared" ref="E12:E23" si="5">F12+G12</f>
        <v>2578.3000000000002</v>
      </c>
      <c r="F12" s="291"/>
      <c r="G12" s="291">
        <f>SUM(H12:J12)</f>
        <v>2578.3000000000002</v>
      </c>
      <c r="H12" s="291"/>
      <c r="I12" s="291">
        <v>734.9</v>
      </c>
      <c r="J12" s="291">
        <v>1843.4</v>
      </c>
      <c r="K12" s="291">
        <f t="shared" ref="K12:K23" si="6">L12+M12</f>
        <v>6780.7144399999997</v>
      </c>
      <c r="L12" s="291">
        <v>4436.2240000000002</v>
      </c>
      <c r="M12" s="291">
        <f>N12+O12</f>
        <v>2344.49044</v>
      </c>
      <c r="N12" s="291"/>
      <c r="O12" s="291">
        <v>2344.49044</v>
      </c>
      <c r="P12" s="291"/>
      <c r="Q12" s="291">
        <f>O12-R12</f>
        <v>502.73543999999993</v>
      </c>
      <c r="R12" s="291">
        <v>1841.7550000000001</v>
      </c>
      <c r="S12" s="301">
        <f t="shared" si="1"/>
        <v>0.98602757677989761</v>
      </c>
      <c r="T12" s="301">
        <f t="shared" si="2"/>
        <v>1.0320400139583576</v>
      </c>
      <c r="U12" s="301">
        <f t="shared" si="3"/>
        <v>0.90931638676647397</v>
      </c>
      <c r="V12" s="301"/>
      <c r="W12" s="301">
        <f>O12/G12</f>
        <v>0.90931638676647397</v>
      </c>
      <c r="X12" s="301"/>
      <c r="Y12" s="301">
        <f>Q12/I12</f>
        <v>0.68408686896176341</v>
      </c>
      <c r="Z12" s="301">
        <f>R12/J12</f>
        <v>0.9991076272105891</v>
      </c>
    </row>
    <row r="13" spans="1:26" ht="24" customHeight="1">
      <c r="A13" s="286" t="s">
        <v>18</v>
      </c>
      <c r="B13" s="290" t="s">
        <v>230</v>
      </c>
      <c r="C13" s="291">
        <f t="shared" si="4"/>
        <v>6872.6</v>
      </c>
      <c r="D13" s="291">
        <v>4001.5</v>
      </c>
      <c r="E13" s="291">
        <f t="shared" si="5"/>
        <v>2871.1</v>
      </c>
      <c r="F13" s="291"/>
      <c r="G13" s="291">
        <f t="shared" ref="G13:G23" si="7">SUM(H13:J13)</f>
        <v>2871.1</v>
      </c>
      <c r="H13" s="291"/>
      <c r="I13" s="291">
        <v>286.10000000000002</v>
      </c>
      <c r="J13" s="291">
        <v>2585</v>
      </c>
      <c r="K13" s="291">
        <f t="shared" si="6"/>
        <v>7261.8096000000005</v>
      </c>
      <c r="L13" s="291">
        <v>4235.4059999999999</v>
      </c>
      <c r="M13" s="291">
        <f t="shared" ref="M13:M23" si="8">N13+O13</f>
        <v>3026.4036000000001</v>
      </c>
      <c r="N13" s="291"/>
      <c r="O13" s="291">
        <v>3026.4036000000001</v>
      </c>
      <c r="P13" s="291"/>
      <c r="Q13" s="291">
        <f t="shared" ref="Q13:Q23" si="9">O13-R13</f>
        <v>340.14380000000028</v>
      </c>
      <c r="R13" s="291">
        <v>2686.2597999999998</v>
      </c>
      <c r="S13" s="301">
        <f t="shared" si="1"/>
        <v>1.0566320751971598</v>
      </c>
      <c r="T13" s="301">
        <f t="shared" si="2"/>
        <v>1.0584545795326752</v>
      </c>
      <c r="U13" s="301">
        <f t="shared" si="3"/>
        <v>1.0540920204799555</v>
      </c>
      <c r="V13" s="301"/>
      <c r="W13" s="301">
        <f t="shared" ref="W13:W22" si="10">O13/G13</f>
        <v>1.0540920204799555</v>
      </c>
      <c r="X13" s="301"/>
      <c r="Y13" s="301">
        <f t="shared" ref="Y13:Y22" si="11">Q13/I13</f>
        <v>1.1888982873121294</v>
      </c>
      <c r="Z13" s="301">
        <f t="shared" ref="Z13:Z22" si="12">R13/J13</f>
        <v>1.0391720696324951</v>
      </c>
    </row>
    <row r="14" spans="1:26" ht="24" customHeight="1">
      <c r="A14" s="286" t="s">
        <v>27</v>
      </c>
      <c r="B14" s="290" t="s">
        <v>237</v>
      </c>
      <c r="C14" s="291">
        <f t="shared" si="4"/>
        <v>11371.099999999999</v>
      </c>
      <c r="D14" s="291">
        <v>7098.5</v>
      </c>
      <c r="E14" s="291">
        <f t="shared" si="5"/>
        <v>4272.5999999999995</v>
      </c>
      <c r="F14" s="291"/>
      <c r="G14" s="291">
        <f t="shared" si="7"/>
        <v>4272.5999999999995</v>
      </c>
      <c r="H14" s="291"/>
      <c r="I14" s="291">
        <v>495.9</v>
      </c>
      <c r="J14" s="291">
        <v>3776.7</v>
      </c>
      <c r="K14" s="291">
        <f t="shared" si="6"/>
        <v>12552.314539999999</v>
      </c>
      <c r="L14" s="291">
        <v>7241.7832399999998</v>
      </c>
      <c r="M14" s="291">
        <f t="shared" si="8"/>
        <v>5310.5312999999996</v>
      </c>
      <c r="N14" s="291"/>
      <c r="O14" s="291">
        <v>5310.5312999999996</v>
      </c>
      <c r="P14" s="291"/>
      <c r="Q14" s="291">
        <f t="shared" si="9"/>
        <v>703.85469999999987</v>
      </c>
      <c r="R14" s="291">
        <v>4606.6765999999998</v>
      </c>
      <c r="S14" s="301">
        <f t="shared" si="1"/>
        <v>1.1038786520213524</v>
      </c>
      <c r="T14" s="301">
        <f t="shared" si="2"/>
        <v>1.0201850024653096</v>
      </c>
      <c r="U14" s="301">
        <f t="shared" si="3"/>
        <v>1.242927327622525</v>
      </c>
      <c r="V14" s="301"/>
      <c r="W14" s="301">
        <f t="shared" si="10"/>
        <v>1.242927327622525</v>
      </c>
      <c r="X14" s="301"/>
      <c r="Y14" s="301">
        <f t="shared" si="11"/>
        <v>1.4193480540431536</v>
      </c>
      <c r="Z14" s="301">
        <f t="shared" si="12"/>
        <v>1.2197623851510577</v>
      </c>
    </row>
    <row r="15" spans="1:26" ht="24" customHeight="1">
      <c r="A15" s="286" t="s">
        <v>28</v>
      </c>
      <c r="B15" s="290" t="s">
        <v>228</v>
      </c>
      <c r="C15" s="291">
        <f t="shared" si="4"/>
        <v>9004.4</v>
      </c>
      <c r="D15" s="291">
        <v>5229.5</v>
      </c>
      <c r="E15" s="291">
        <f t="shared" si="5"/>
        <v>3774.9</v>
      </c>
      <c r="F15" s="291"/>
      <c r="G15" s="291">
        <f t="shared" si="7"/>
        <v>3774.9</v>
      </c>
      <c r="H15" s="291"/>
      <c r="I15" s="291">
        <v>398.9</v>
      </c>
      <c r="J15" s="291">
        <v>3376</v>
      </c>
      <c r="K15" s="291">
        <f>L15+M15</f>
        <v>10066.059393</v>
      </c>
      <c r="L15" s="291">
        <v>5367.8</v>
      </c>
      <c r="M15" s="291">
        <f t="shared" si="8"/>
        <v>4698.2593930000003</v>
      </c>
      <c r="N15" s="291"/>
      <c r="O15" s="291">
        <v>4698.2593930000003</v>
      </c>
      <c r="P15" s="291"/>
      <c r="Q15" s="291">
        <f t="shared" si="9"/>
        <v>493.79480000000058</v>
      </c>
      <c r="R15" s="291">
        <v>4204.4645929999997</v>
      </c>
      <c r="S15" s="301">
        <f t="shared" si="1"/>
        <v>1.1179045125716316</v>
      </c>
      <c r="T15" s="301">
        <f t="shared" si="2"/>
        <v>1.0264461229563056</v>
      </c>
      <c r="U15" s="301">
        <f t="shared" si="3"/>
        <v>1.244604994304485</v>
      </c>
      <c r="V15" s="301"/>
      <c r="W15" s="301">
        <f t="shared" si="10"/>
        <v>1.244604994304485</v>
      </c>
      <c r="X15" s="301"/>
      <c r="Y15" s="301">
        <f t="shared" si="11"/>
        <v>1.2378912008022076</v>
      </c>
      <c r="Z15" s="301">
        <f t="shared" si="12"/>
        <v>1.2453982799170615</v>
      </c>
    </row>
    <row r="16" spans="1:26" ht="24" customHeight="1">
      <c r="A16" s="286" t="s">
        <v>29</v>
      </c>
      <c r="B16" s="290" t="s">
        <v>232</v>
      </c>
      <c r="C16" s="291">
        <f t="shared" si="4"/>
        <v>8033.8</v>
      </c>
      <c r="D16" s="291">
        <v>5158.5</v>
      </c>
      <c r="E16" s="291">
        <f t="shared" si="5"/>
        <v>2875.3</v>
      </c>
      <c r="F16" s="291"/>
      <c r="G16" s="291">
        <f t="shared" si="7"/>
        <v>2875.3</v>
      </c>
      <c r="H16" s="291"/>
      <c r="I16" s="291">
        <v>1143.2</v>
      </c>
      <c r="J16" s="291">
        <v>1732.1</v>
      </c>
      <c r="K16" s="291">
        <f t="shared" si="6"/>
        <v>8933.6842990000005</v>
      </c>
      <c r="L16" s="291">
        <v>5350.5959999999995</v>
      </c>
      <c r="M16" s="291">
        <f t="shared" si="8"/>
        <v>3583.088299</v>
      </c>
      <c r="N16" s="291"/>
      <c r="O16" s="291">
        <v>3583.088299</v>
      </c>
      <c r="P16" s="291"/>
      <c r="Q16" s="291">
        <f t="shared" si="9"/>
        <v>1819.2702999999999</v>
      </c>
      <c r="R16" s="291">
        <v>1763.8179990000001</v>
      </c>
      <c r="S16" s="301">
        <f t="shared" si="1"/>
        <v>1.1120122854688939</v>
      </c>
      <c r="T16" s="301">
        <f t="shared" si="2"/>
        <v>1.03723873218959</v>
      </c>
      <c r="U16" s="301">
        <f t="shared" si="3"/>
        <v>1.2461615480123813</v>
      </c>
      <c r="V16" s="301"/>
      <c r="W16" s="301">
        <f t="shared" si="10"/>
        <v>1.2461615480123813</v>
      </c>
      <c r="X16" s="301"/>
      <c r="Y16" s="301">
        <f t="shared" si="11"/>
        <v>1.5913840972708186</v>
      </c>
      <c r="Z16" s="301">
        <f t="shared" si="12"/>
        <v>1.018311875180417</v>
      </c>
    </row>
    <row r="17" spans="1:26" ht="24" customHeight="1">
      <c r="A17" s="286" t="s">
        <v>30</v>
      </c>
      <c r="B17" s="290" t="s">
        <v>231</v>
      </c>
      <c r="C17" s="291">
        <f t="shared" si="4"/>
        <v>9444</v>
      </c>
      <c r="D17" s="291">
        <v>6078.5</v>
      </c>
      <c r="E17" s="291">
        <f t="shared" si="5"/>
        <v>3365.5</v>
      </c>
      <c r="F17" s="291"/>
      <c r="G17" s="291">
        <f t="shared" si="7"/>
        <v>3365.5</v>
      </c>
      <c r="H17" s="291"/>
      <c r="I17" s="291">
        <v>322.89999999999998</v>
      </c>
      <c r="J17" s="291">
        <v>3042.6</v>
      </c>
      <c r="K17" s="291">
        <f t="shared" si="6"/>
        <v>10298.4606</v>
      </c>
      <c r="L17" s="291">
        <v>6291.4539999999997</v>
      </c>
      <c r="M17" s="291">
        <f t="shared" si="8"/>
        <v>4007.0066000000002</v>
      </c>
      <c r="N17" s="291"/>
      <c r="O17" s="291">
        <v>4007.0066000000002</v>
      </c>
      <c r="P17" s="291"/>
      <c r="Q17" s="291">
        <f t="shared" si="9"/>
        <v>432.68060000000014</v>
      </c>
      <c r="R17" s="291">
        <v>3574.326</v>
      </c>
      <c r="S17" s="301">
        <f t="shared" si="1"/>
        <v>1.0904765565438375</v>
      </c>
      <c r="T17" s="301">
        <f t="shared" si="2"/>
        <v>1.035033972197088</v>
      </c>
      <c r="U17" s="301">
        <f t="shared" si="3"/>
        <v>1.19061256871193</v>
      </c>
      <c r="V17" s="301"/>
      <c r="W17" s="301">
        <f t="shared" si="10"/>
        <v>1.19061256871193</v>
      </c>
      <c r="X17" s="301"/>
      <c r="Y17" s="301">
        <f t="shared" si="11"/>
        <v>1.3399832765562099</v>
      </c>
      <c r="Z17" s="301">
        <f t="shared" si="12"/>
        <v>1.1747604022875173</v>
      </c>
    </row>
    <row r="18" spans="1:26" ht="24" customHeight="1">
      <c r="A18" s="286" t="s">
        <v>31</v>
      </c>
      <c r="B18" s="290" t="s">
        <v>229</v>
      </c>
      <c r="C18" s="291">
        <f t="shared" si="4"/>
        <v>8990.1</v>
      </c>
      <c r="D18" s="291">
        <v>5825.5</v>
      </c>
      <c r="E18" s="291">
        <f t="shared" si="5"/>
        <v>3164.6</v>
      </c>
      <c r="F18" s="291"/>
      <c r="G18" s="291">
        <f t="shared" si="7"/>
        <v>3164.6</v>
      </c>
      <c r="H18" s="291"/>
      <c r="I18" s="291">
        <v>305.60000000000002</v>
      </c>
      <c r="J18" s="291">
        <v>2859</v>
      </c>
      <c r="K18" s="291">
        <f t="shared" si="6"/>
        <v>9645.8230000000003</v>
      </c>
      <c r="L18" s="291">
        <v>5931.6419999999998</v>
      </c>
      <c r="M18" s="291">
        <f t="shared" si="8"/>
        <v>3714.181</v>
      </c>
      <c r="N18" s="291"/>
      <c r="O18" s="291">
        <v>3714.181</v>
      </c>
      <c r="P18" s="291"/>
      <c r="Q18" s="291">
        <f t="shared" si="9"/>
        <v>636.15099999999984</v>
      </c>
      <c r="R18" s="291">
        <v>3078.03</v>
      </c>
      <c r="S18" s="301">
        <f t="shared" si="1"/>
        <v>1.0729383432887287</v>
      </c>
      <c r="T18" s="301">
        <f t="shared" si="2"/>
        <v>1.0182202386061281</v>
      </c>
      <c r="U18" s="301">
        <f t="shared" si="3"/>
        <v>1.1736652341528155</v>
      </c>
      <c r="V18" s="301"/>
      <c r="W18" s="301">
        <f t="shared" si="10"/>
        <v>1.1736652341528155</v>
      </c>
      <c r="X18" s="301"/>
      <c r="Y18" s="301">
        <f t="shared" si="11"/>
        <v>2.0816459424083762</v>
      </c>
      <c r="Z18" s="301">
        <f t="shared" si="12"/>
        <v>1.0766107030430221</v>
      </c>
    </row>
    <row r="19" spans="1:26" ht="24" customHeight="1">
      <c r="A19" s="286" t="s">
        <v>32</v>
      </c>
      <c r="B19" s="290" t="s">
        <v>235</v>
      </c>
      <c r="C19" s="291">
        <f t="shared" si="4"/>
        <v>11523.7</v>
      </c>
      <c r="D19" s="291">
        <v>6134.5</v>
      </c>
      <c r="E19" s="291">
        <f t="shared" si="5"/>
        <v>5389.2</v>
      </c>
      <c r="F19" s="291"/>
      <c r="G19" s="291">
        <f t="shared" si="7"/>
        <v>5389.2</v>
      </c>
      <c r="H19" s="291"/>
      <c r="I19" s="291">
        <v>1927.6</v>
      </c>
      <c r="J19" s="291">
        <v>3461.6</v>
      </c>
      <c r="K19" s="291">
        <f t="shared" si="6"/>
        <v>12462.914497</v>
      </c>
      <c r="L19" s="291">
        <v>6312.4470000000001</v>
      </c>
      <c r="M19" s="291">
        <f t="shared" si="8"/>
        <v>6150.4674969999996</v>
      </c>
      <c r="N19" s="291"/>
      <c r="O19" s="291">
        <v>6150.4674969999996</v>
      </c>
      <c r="P19" s="291"/>
      <c r="Q19" s="291">
        <f t="shared" si="9"/>
        <v>2170.1455999999998</v>
      </c>
      <c r="R19" s="291">
        <v>3980.3218969999998</v>
      </c>
      <c r="S19" s="301">
        <f t="shared" si="1"/>
        <v>1.0815028590643629</v>
      </c>
      <c r="T19" s="301">
        <f t="shared" si="2"/>
        <v>1.0290075800798761</v>
      </c>
      <c r="U19" s="301">
        <f t="shared" si="3"/>
        <v>1.1412579783641357</v>
      </c>
      <c r="V19" s="301"/>
      <c r="W19" s="301">
        <f t="shared" si="10"/>
        <v>1.1412579783641357</v>
      </c>
      <c r="X19" s="301"/>
      <c r="Y19" s="301">
        <f t="shared" si="11"/>
        <v>1.125827765096493</v>
      </c>
      <c r="Z19" s="301">
        <f t="shared" si="12"/>
        <v>1.1498503284608272</v>
      </c>
    </row>
    <row r="20" spans="1:26" ht="24" customHeight="1">
      <c r="A20" s="286" t="s">
        <v>33</v>
      </c>
      <c r="B20" s="290" t="s">
        <v>233</v>
      </c>
      <c r="C20" s="291">
        <f t="shared" si="4"/>
        <v>9516</v>
      </c>
      <c r="D20" s="291">
        <v>5072.5</v>
      </c>
      <c r="E20" s="291">
        <f t="shared" si="5"/>
        <v>4443.5</v>
      </c>
      <c r="F20" s="291"/>
      <c r="G20" s="291">
        <f t="shared" si="7"/>
        <v>4443.5</v>
      </c>
      <c r="H20" s="291"/>
      <c r="I20" s="291">
        <v>806.6</v>
      </c>
      <c r="J20" s="291">
        <v>3636.9</v>
      </c>
      <c r="K20" s="291">
        <f t="shared" si="6"/>
        <v>10368.1018</v>
      </c>
      <c r="L20" s="291">
        <v>5262.8940000000002</v>
      </c>
      <c r="M20" s="291">
        <f t="shared" si="8"/>
        <v>5105.2078000000001</v>
      </c>
      <c r="N20" s="291"/>
      <c r="O20" s="291">
        <v>5105.2078000000001</v>
      </c>
      <c r="P20" s="291"/>
      <c r="Q20" s="291">
        <f t="shared" si="9"/>
        <v>875.24380000000019</v>
      </c>
      <c r="R20" s="291">
        <v>4229.9639999999999</v>
      </c>
      <c r="S20" s="301">
        <f t="shared" si="1"/>
        <v>1.0895441151744432</v>
      </c>
      <c r="T20" s="301">
        <f t="shared" si="2"/>
        <v>1.0375345490389354</v>
      </c>
      <c r="U20" s="301">
        <f t="shared" si="3"/>
        <v>1.148915899628671</v>
      </c>
      <c r="V20" s="301"/>
      <c r="W20" s="301">
        <f t="shared" si="10"/>
        <v>1.148915899628671</v>
      </c>
      <c r="X20" s="301"/>
      <c r="Y20" s="301">
        <f t="shared" si="11"/>
        <v>1.0851026531118277</v>
      </c>
      <c r="Z20" s="301">
        <f t="shared" si="12"/>
        <v>1.1630685473892601</v>
      </c>
    </row>
    <row r="21" spans="1:26" ht="24" customHeight="1">
      <c r="A21" s="286" t="s">
        <v>34</v>
      </c>
      <c r="B21" s="290" t="s">
        <v>236</v>
      </c>
      <c r="C21" s="291">
        <f t="shared" si="4"/>
        <v>10920</v>
      </c>
      <c r="D21" s="291">
        <v>6187.5</v>
      </c>
      <c r="E21" s="291">
        <f t="shared" si="5"/>
        <v>4732.5</v>
      </c>
      <c r="F21" s="291"/>
      <c r="G21" s="291">
        <f t="shared" si="7"/>
        <v>4732.5</v>
      </c>
      <c r="H21" s="291"/>
      <c r="I21" s="291">
        <v>1714.9</v>
      </c>
      <c r="J21" s="291">
        <v>3017.6</v>
      </c>
      <c r="K21" s="291">
        <f t="shared" si="6"/>
        <v>11506.81365</v>
      </c>
      <c r="L21" s="291">
        <v>6388.3530000000001</v>
      </c>
      <c r="M21" s="291">
        <f t="shared" si="8"/>
        <v>5118.46065</v>
      </c>
      <c r="N21" s="291"/>
      <c r="O21" s="291">
        <v>5118.46065</v>
      </c>
      <c r="P21" s="291"/>
      <c r="Q21" s="291">
        <f t="shared" si="9"/>
        <v>1589.03685</v>
      </c>
      <c r="R21" s="291">
        <v>3529.4238</v>
      </c>
      <c r="S21" s="301">
        <f t="shared" si="1"/>
        <v>1.0537375137362637</v>
      </c>
      <c r="T21" s="301">
        <f t="shared" si="2"/>
        <v>1.032461090909091</v>
      </c>
      <c r="U21" s="301">
        <f t="shared" si="3"/>
        <v>1.0815553407290015</v>
      </c>
      <c r="V21" s="301"/>
      <c r="W21" s="301">
        <f t="shared" si="10"/>
        <v>1.0815553407290015</v>
      </c>
      <c r="X21" s="301"/>
      <c r="Y21" s="301">
        <f t="shared" si="11"/>
        <v>0.92660612863723824</v>
      </c>
      <c r="Z21" s="301">
        <f t="shared" si="12"/>
        <v>1.1696128711558855</v>
      </c>
    </row>
    <row r="22" spans="1:26" ht="24" customHeight="1">
      <c r="A22" s="286" t="s">
        <v>35</v>
      </c>
      <c r="B22" s="290" t="s">
        <v>234</v>
      </c>
      <c r="C22" s="291">
        <f t="shared" si="4"/>
        <v>7040.7</v>
      </c>
      <c r="D22" s="291">
        <v>3593.5</v>
      </c>
      <c r="E22" s="291">
        <f t="shared" si="5"/>
        <v>3447.2</v>
      </c>
      <c r="F22" s="291"/>
      <c r="G22" s="291">
        <f t="shared" si="7"/>
        <v>3447.2</v>
      </c>
      <c r="H22" s="291"/>
      <c r="I22" s="291">
        <v>809.6</v>
      </c>
      <c r="J22" s="291">
        <v>2637.6</v>
      </c>
      <c r="K22" s="291">
        <f t="shared" si="6"/>
        <v>7505.3788000000004</v>
      </c>
      <c r="L22" s="291">
        <v>3679.1869999999999</v>
      </c>
      <c r="M22" s="291">
        <f t="shared" si="8"/>
        <v>3826.1918000000001</v>
      </c>
      <c r="N22" s="291"/>
      <c r="O22" s="291">
        <v>3826.1918000000001</v>
      </c>
      <c r="P22" s="291"/>
      <c r="Q22" s="291">
        <f t="shared" si="9"/>
        <v>936.49980000000005</v>
      </c>
      <c r="R22" s="291">
        <v>2889.692</v>
      </c>
      <c r="S22" s="301">
        <f t="shared" si="1"/>
        <v>1.0659989489681425</v>
      </c>
      <c r="T22" s="301">
        <f t="shared" si="2"/>
        <v>1.0238449979128983</v>
      </c>
      <c r="U22" s="301">
        <f t="shared" si="3"/>
        <v>1.1099419238802508</v>
      </c>
      <c r="V22" s="301"/>
      <c r="W22" s="301">
        <f t="shared" si="10"/>
        <v>1.1099419238802508</v>
      </c>
      <c r="X22" s="301"/>
      <c r="Y22" s="301">
        <f t="shared" si="11"/>
        <v>1.156743824110672</v>
      </c>
      <c r="Z22" s="301">
        <f t="shared" si="12"/>
        <v>1.0955762814680012</v>
      </c>
    </row>
    <row r="23" spans="1:26" ht="24" customHeight="1">
      <c r="A23" s="286" t="s">
        <v>36</v>
      </c>
      <c r="B23" s="290" t="s">
        <v>238</v>
      </c>
      <c r="C23" s="291">
        <f t="shared" si="4"/>
        <v>7398.8</v>
      </c>
      <c r="D23" s="291">
        <v>5776.5</v>
      </c>
      <c r="E23" s="291">
        <f t="shared" si="5"/>
        <v>1622.3</v>
      </c>
      <c r="F23" s="291"/>
      <c r="G23" s="291">
        <f t="shared" si="7"/>
        <v>1622.3</v>
      </c>
      <c r="H23" s="291"/>
      <c r="I23" s="291">
        <v>685.8</v>
      </c>
      <c r="J23" s="291">
        <v>936.5</v>
      </c>
      <c r="K23" s="291">
        <f t="shared" si="6"/>
        <v>7712.6938000000009</v>
      </c>
      <c r="L23" s="291">
        <v>6006.7790000000005</v>
      </c>
      <c r="M23" s="291">
        <f t="shared" si="8"/>
        <v>1705.9148</v>
      </c>
      <c r="N23" s="291"/>
      <c r="O23" s="291">
        <v>1705.9148</v>
      </c>
      <c r="P23" s="291"/>
      <c r="Q23" s="291">
        <f t="shared" si="9"/>
        <v>769.41480000000001</v>
      </c>
      <c r="R23" s="291">
        <v>936.5</v>
      </c>
      <c r="S23" s="301">
        <f t="shared" si="1"/>
        <v>1.0424249608044549</v>
      </c>
      <c r="T23" s="301">
        <f t="shared" si="2"/>
        <v>1.0398647970224184</v>
      </c>
      <c r="U23" s="301">
        <f t="shared" si="3"/>
        <v>1.0515408987240338</v>
      </c>
      <c r="V23" s="301"/>
      <c r="W23" s="301">
        <f t="shared" ref="W23" si="13">O23/G23</f>
        <v>1.0515408987240338</v>
      </c>
      <c r="X23" s="301"/>
      <c r="Y23" s="301">
        <f t="shared" ref="Y23:Z23" si="14">Q23/I23</f>
        <v>1.1219230096237971</v>
      </c>
      <c r="Z23" s="301">
        <f t="shared" si="14"/>
        <v>1</v>
      </c>
    </row>
    <row r="24" spans="1:26" ht="21.75" customHeight="1">
      <c r="A24" s="145" t="s">
        <v>557</v>
      </c>
      <c r="B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row>
    <row r="25" spans="1:26">
      <c r="A25" s="294" t="s">
        <v>0</v>
      </c>
      <c r="B25" s="294"/>
      <c r="C25" s="294"/>
      <c r="D25" s="294"/>
      <c r="E25" s="294"/>
      <c r="F25" s="294"/>
      <c r="G25" s="294"/>
      <c r="H25" s="294"/>
      <c r="I25" s="294"/>
      <c r="J25" s="294"/>
      <c r="K25" s="294"/>
      <c r="L25" s="294"/>
      <c r="M25" s="294"/>
      <c r="N25" s="294"/>
      <c r="O25" s="294"/>
      <c r="P25" s="294"/>
      <c r="Q25" s="294"/>
      <c r="R25" s="294"/>
      <c r="S25" s="294"/>
      <c r="T25" s="294"/>
      <c r="U25" s="294"/>
      <c r="V25" s="294"/>
      <c r="W25" s="294"/>
      <c r="X25" s="294"/>
      <c r="Y25" s="294"/>
    </row>
    <row r="26" spans="1:26">
      <c r="A26" s="294" t="s">
        <v>0</v>
      </c>
      <c r="B26" s="294"/>
      <c r="C26" s="294"/>
      <c r="D26" s="294"/>
      <c r="E26" s="294"/>
      <c r="F26" s="294"/>
      <c r="G26" s="294"/>
      <c r="H26" s="294"/>
      <c r="I26" s="294"/>
      <c r="J26" s="294"/>
      <c r="K26" s="294"/>
      <c r="L26" s="294"/>
      <c r="M26" s="294"/>
      <c r="N26" s="294"/>
      <c r="O26" s="294"/>
      <c r="P26" s="294"/>
      <c r="Q26" s="294"/>
      <c r="R26" s="294"/>
      <c r="S26" s="294"/>
      <c r="T26" s="294"/>
      <c r="U26" s="294"/>
      <c r="V26" s="294"/>
      <c r="W26" s="294"/>
      <c r="X26" s="294"/>
      <c r="Y26" s="294"/>
    </row>
  </sheetData>
  <mergeCells count="35">
    <mergeCell ref="Z8:Z9"/>
    <mergeCell ref="U7:Z7"/>
    <mergeCell ref="T7:T9"/>
    <mergeCell ref="A25:Y25"/>
    <mergeCell ref="E7:J7"/>
    <mergeCell ref="S7:S9"/>
    <mergeCell ref="M8:M9"/>
    <mergeCell ref="A26:Y26"/>
    <mergeCell ref="U8:U9"/>
    <mergeCell ref="V8:W8"/>
    <mergeCell ref="X8:X9"/>
    <mergeCell ref="Y8:Y9"/>
    <mergeCell ref="L7:L9"/>
    <mergeCell ref="M7:R7"/>
    <mergeCell ref="P8:P9"/>
    <mergeCell ref="Q8:Q9"/>
    <mergeCell ref="R8:R9"/>
    <mergeCell ref="A6:A9"/>
    <mergeCell ref="B6:B9"/>
    <mergeCell ref="A3:Z3"/>
    <mergeCell ref="A4:Z4"/>
    <mergeCell ref="C7:C9"/>
    <mergeCell ref="D7:D9"/>
    <mergeCell ref="K7:K9"/>
    <mergeCell ref="E8:E9"/>
    <mergeCell ref="F8:G8"/>
    <mergeCell ref="H8:H9"/>
    <mergeCell ref="J8:J9"/>
    <mergeCell ref="I8:I9"/>
    <mergeCell ref="A5:Z5"/>
    <mergeCell ref="N8:O8"/>
    <mergeCell ref="C6:J6"/>
    <mergeCell ref="K6:L6"/>
    <mergeCell ref="M6:R6"/>
    <mergeCell ref="S6:Z6"/>
  </mergeCells>
  <pageMargins left="0.56000000000000005" right="0.16" top="0.38" bottom="0.62" header="0.3" footer="0.3"/>
  <pageSetup paperSize="9" scale="54" fitToHeight="0" orientation="landscape" verticalDpi="0" r:id="rId1"/>
  <headerFoot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W54"/>
  <sheetViews>
    <sheetView showGridLines="0" tabSelected="1" view="pageBreakPreview" topLeftCell="AQ1" zoomScaleNormal="130" zoomScaleSheetLayoutView="100" workbookViewId="0">
      <selection activeCell="BP9" sqref="BP9:BP11"/>
    </sheetView>
  </sheetViews>
  <sheetFormatPr defaultRowHeight="15"/>
  <cols>
    <col min="1" max="1" width="4.5703125" style="101" customWidth="1"/>
    <col min="2" max="2" width="28" style="101" customWidth="1"/>
    <col min="3" max="3" width="12.42578125" style="101" customWidth="1"/>
    <col min="4" max="6" width="9.7109375" style="101" customWidth="1"/>
    <col min="7" max="8" width="8.85546875" style="101" customWidth="1"/>
    <col min="9" max="9" width="6.7109375" style="101" customWidth="1"/>
    <col min="10" max="11" width="9.7109375" style="101" customWidth="1"/>
    <col min="12" max="12" width="6.7109375" style="101" customWidth="1"/>
    <col min="13" max="15" width="9.7109375" style="101" customWidth="1"/>
    <col min="16" max="16" width="6.7109375" style="101" customWidth="1"/>
    <col min="17" max="18" width="9.7109375" style="101" customWidth="1"/>
    <col min="19" max="19" width="6.7109375" style="101" customWidth="1"/>
    <col min="20" max="22" width="9.7109375" style="101" customWidth="1"/>
    <col min="23" max="23" width="6.7109375" style="101" customWidth="1"/>
    <col min="24" max="25" width="9.7109375" style="101" customWidth="1"/>
    <col min="26" max="26" width="6.7109375" style="101" customWidth="1"/>
    <col min="27" max="27" width="10.140625" style="101" customWidth="1"/>
    <col min="28" max="30" width="9.7109375" style="101" customWidth="1"/>
    <col min="31" max="31" width="9.140625" style="101" customWidth="1"/>
    <col min="32" max="32" width="7.5703125" style="101" customWidth="1"/>
    <col min="33" max="33" width="6.7109375" style="101" customWidth="1"/>
    <col min="34" max="35" width="8.85546875" style="101" customWidth="1"/>
    <col min="36" max="36" width="6.7109375" style="101" customWidth="1"/>
    <col min="37" max="39" width="9.7109375" style="101" customWidth="1"/>
    <col min="40" max="40" width="6.7109375" style="101" customWidth="1"/>
    <col min="41" max="42" width="9.7109375" style="101" customWidth="1"/>
    <col min="43" max="43" width="6.7109375" style="101" customWidth="1"/>
    <col min="44" max="44" width="10.28515625" style="101" customWidth="1"/>
    <col min="45" max="46" width="9.7109375" style="101" customWidth="1"/>
    <col min="47" max="47" width="6.7109375" style="101" customWidth="1"/>
    <col min="48" max="49" width="9.7109375" style="101" customWidth="1"/>
    <col min="50" max="50" width="6.7109375" style="101" customWidth="1"/>
    <col min="51" max="51" width="9.140625" style="101" customWidth="1"/>
    <col min="52" max="53" width="8.85546875" style="101" customWidth="1"/>
    <col min="54" max="54" width="7.7109375" style="101" customWidth="1"/>
    <col min="55" max="56" width="6.85546875" style="101" customWidth="1"/>
    <col min="57" max="57" width="5.7109375" style="101" customWidth="1"/>
    <col min="58" max="58" width="7.7109375" style="101" customWidth="1"/>
    <col min="59" max="59" width="9.140625" style="101" customWidth="1"/>
    <col min="60" max="60" width="6.28515625" style="101" customWidth="1"/>
    <col min="61" max="61" width="8.28515625" style="101" bestFit="1" customWidth="1"/>
    <col min="62" max="62" width="8.5703125" style="101" bestFit="1" customWidth="1"/>
    <col min="63" max="63" width="8.28515625" style="101" customWidth="1"/>
    <col min="64" max="64" width="6.28515625" style="101" customWidth="1"/>
    <col min="65" max="65" width="7.7109375" style="101" customWidth="1"/>
    <col min="66" max="66" width="8.42578125" style="101" customWidth="1"/>
    <col min="67" max="67" width="6.28515625" style="101" customWidth="1"/>
    <col min="68" max="68" width="8.28515625" style="101" bestFit="1" customWidth="1"/>
    <col min="69" max="69" width="8.5703125" style="101" bestFit="1" customWidth="1"/>
    <col min="70" max="70" width="8" style="101" customWidth="1"/>
    <col min="71" max="71" width="6.28515625" style="101" customWidth="1"/>
    <col min="72" max="72" width="7.7109375" style="101" customWidth="1"/>
    <col min="73" max="73" width="7.85546875" style="101" customWidth="1"/>
    <col min="74" max="74" width="6.28515625" style="101" customWidth="1"/>
    <col min="75" max="75" width="9.140625" style="101" customWidth="1"/>
    <col min="76" max="16384" width="9.140625" style="101"/>
  </cols>
  <sheetData>
    <row r="1" spans="1:74" ht="15" customHeight="1">
      <c r="A1" s="100" t="s">
        <v>121</v>
      </c>
    </row>
    <row r="2" spans="1:74" ht="9.75" customHeight="1"/>
    <row r="3" spans="1:74" ht="19.5" customHeight="1">
      <c r="B3" s="102"/>
      <c r="C3" s="178" t="s">
        <v>522</v>
      </c>
      <c r="D3" s="178"/>
      <c r="E3" s="178"/>
      <c r="F3" s="178"/>
      <c r="G3" s="178"/>
      <c r="H3" s="178"/>
      <c r="I3" s="178"/>
      <c r="J3" s="178"/>
      <c r="K3" s="178"/>
      <c r="L3" s="178"/>
      <c r="M3" s="178"/>
      <c r="N3" s="178"/>
      <c r="O3" s="178"/>
      <c r="P3" s="178"/>
      <c r="Q3" s="178"/>
      <c r="R3" s="178"/>
      <c r="S3" s="178"/>
      <c r="T3" s="130"/>
      <c r="U3" s="130"/>
      <c r="V3" s="130"/>
      <c r="W3" s="130"/>
      <c r="X3" s="130"/>
      <c r="Y3" s="130"/>
      <c r="Z3" s="130"/>
      <c r="AA3" s="131"/>
      <c r="AB3" s="131"/>
      <c r="AC3" s="131"/>
      <c r="AD3" s="131"/>
      <c r="AE3" s="102"/>
      <c r="AF3" s="102"/>
      <c r="AG3" s="102"/>
      <c r="AH3" s="102"/>
      <c r="AI3" s="102"/>
      <c r="AJ3" s="102"/>
      <c r="AK3" s="102"/>
      <c r="AL3" s="102"/>
      <c r="AM3" s="102"/>
      <c r="AN3" s="102"/>
      <c r="AO3" s="178"/>
      <c r="AP3" s="178"/>
      <c r="AQ3" s="178"/>
      <c r="AR3" s="178"/>
      <c r="AS3" s="178"/>
      <c r="AT3" s="178"/>
      <c r="AU3" s="178"/>
      <c r="AV3" s="178"/>
      <c r="AW3" s="178"/>
      <c r="AX3" s="178"/>
      <c r="AY3" s="178"/>
      <c r="AZ3" s="178"/>
      <c r="BA3" s="178"/>
      <c r="BB3" s="178"/>
      <c r="BC3" s="178"/>
      <c r="BD3" s="178"/>
      <c r="BE3" s="178"/>
      <c r="BF3" s="178"/>
      <c r="BG3" s="178"/>
      <c r="BH3" s="178"/>
      <c r="BI3" s="186"/>
      <c r="BJ3" s="186"/>
      <c r="BK3" s="186"/>
      <c r="BL3" s="186"/>
      <c r="BM3" s="186"/>
      <c r="BN3" s="186"/>
      <c r="BO3" s="186"/>
      <c r="BP3" s="186"/>
      <c r="BQ3" s="186"/>
      <c r="BR3" s="186"/>
      <c r="BS3" s="186"/>
      <c r="BT3" s="186"/>
      <c r="BU3" s="186"/>
      <c r="BV3" s="186"/>
    </row>
    <row r="4" spans="1:74" ht="18.75">
      <c r="B4" s="102"/>
      <c r="C4" s="174" t="s">
        <v>515</v>
      </c>
      <c r="D4" s="174"/>
      <c r="E4" s="174"/>
      <c r="F4" s="174"/>
      <c r="G4" s="174"/>
      <c r="H4" s="174"/>
      <c r="I4" s="174"/>
      <c r="J4" s="174"/>
      <c r="K4" s="174"/>
      <c r="L4" s="174"/>
      <c r="M4" s="174"/>
      <c r="N4" s="174"/>
      <c r="O4" s="174"/>
      <c r="P4" s="174"/>
      <c r="Q4" s="174"/>
      <c r="R4" s="174"/>
      <c r="S4" s="174"/>
      <c r="T4" s="129"/>
      <c r="U4" s="129"/>
      <c r="V4" s="129"/>
      <c r="W4" s="129"/>
      <c r="X4" s="129"/>
      <c r="Y4" s="129"/>
      <c r="Z4" s="129"/>
      <c r="AA4" s="132"/>
      <c r="AB4" s="132"/>
      <c r="AC4" s="132"/>
      <c r="AD4" s="132"/>
      <c r="AE4" s="102"/>
      <c r="AF4" s="102"/>
      <c r="AG4" s="102"/>
      <c r="AH4" s="102"/>
      <c r="AI4" s="102"/>
      <c r="AJ4" s="102"/>
      <c r="AK4" s="102"/>
      <c r="AL4" s="102"/>
      <c r="AM4" s="102"/>
      <c r="AN4" s="102"/>
      <c r="AO4" s="189"/>
      <c r="AP4" s="189"/>
      <c r="AQ4" s="189"/>
      <c r="AR4" s="189"/>
      <c r="AS4" s="189"/>
      <c r="AT4" s="189"/>
      <c r="AU4" s="189"/>
      <c r="AV4" s="189"/>
      <c r="AW4" s="189"/>
      <c r="AX4" s="189"/>
      <c r="AY4" s="189"/>
      <c r="AZ4" s="189"/>
      <c r="BA4" s="189"/>
      <c r="BB4" s="189"/>
      <c r="BC4" s="189"/>
      <c r="BD4" s="189"/>
      <c r="BE4" s="189"/>
      <c r="BF4" s="189"/>
      <c r="BG4" s="189"/>
      <c r="BH4" s="189"/>
      <c r="BI4" s="187"/>
      <c r="BJ4" s="187"/>
      <c r="BK4" s="187"/>
      <c r="BL4" s="187"/>
      <c r="BM4" s="187"/>
      <c r="BN4" s="187"/>
      <c r="BO4" s="187"/>
      <c r="BP4" s="187"/>
      <c r="BQ4" s="187"/>
      <c r="BR4" s="187"/>
      <c r="BS4" s="187"/>
      <c r="BT4" s="187"/>
      <c r="BU4" s="187"/>
      <c r="BV4" s="187"/>
    </row>
    <row r="5" spans="1:74" ht="11.25" hidden="1" customHeight="1">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row>
    <row r="6" spans="1:74">
      <c r="A6" s="302"/>
      <c r="B6" s="302"/>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2"/>
      <c r="AD6" s="302"/>
      <c r="AE6" s="302"/>
      <c r="AF6" s="302"/>
      <c r="AG6" s="302"/>
      <c r="AH6" s="302"/>
      <c r="AI6" s="302"/>
      <c r="AJ6" s="302"/>
      <c r="AK6" s="302"/>
      <c r="AL6" s="302"/>
      <c r="AM6" s="302"/>
      <c r="AN6" s="302"/>
      <c r="AO6" s="302"/>
      <c r="AP6" s="302"/>
      <c r="AQ6" s="302"/>
      <c r="AR6" s="302"/>
      <c r="AS6" s="302"/>
      <c r="AT6" s="302"/>
      <c r="AU6" s="302"/>
      <c r="AV6" s="302"/>
      <c r="AW6" s="302"/>
      <c r="AX6" s="302"/>
      <c r="AY6" s="302"/>
      <c r="AZ6" s="302"/>
      <c r="BA6" s="302"/>
      <c r="BB6" s="302"/>
      <c r="BC6" s="302"/>
      <c r="BD6" s="302"/>
      <c r="BE6" s="302"/>
      <c r="BF6" s="302"/>
      <c r="BG6" s="302"/>
      <c r="BH6" s="302"/>
      <c r="BI6" s="302"/>
      <c r="BJ6" s="302"/>
      <c r="BK6" s="302"/>
      <c r="BM6" s="303"/>
      <c r="BN6" s="303"/>
      <c r="BO6" s="303"/>
      <c r="BP6" s="302"/>
      <c r="BQ6" s="302"/>
      <c r="BR6" s="302"/>
      <c r="BS6" s="304" t="s">
        <v>429</v>
      </c>
      <c r="BT6" s="304"/>
      <c r="BU6" s="304"/>
      <c r="BV6" s="304"/>
    </row>
    <row r="7" spans="1:74" ht="18.75" customHeight="1">
      <c r="A7" s="309" t="s">
        <v>134</v>
      </c>
      <c r="B7" s="309" t="s">
        <v>135</v>
      </c>
      <c r="C7" s="309" t="s">
        <v>535</v>
      </c>
      <c r="D7" s="309"/>
      <c r="E7" s="309"/>
      <c r="F7" s="309"/>
      <c r="G7" s="309"/>
      <c r="H7" s="309"/>
      <c r="I7" s="309"/>
      <c r="J7" s="309"/>
      <c r="K7" s="309"/>
      <c r="L7" s="309"/>
      <c r="M7" s="309"/>
      <c r="N7" s="309"/>
      <c r="O7" s="309"/>
      <c r="P7" s="309"/>
      <c r="Q7" s="309"/>
      <c r="R7" s="309"/>
      <c r="S7" s="309"/>
      <c r="T7" s="309" t="s">
        <v>3</v>
      </c>
      <c r="U7" s="309"/>
      <c r="V7" s="309"/>
      <c r="W7" s="309"/>
      <c r="X7" s="309"/>
      <c r="Y7" s="309"/>
      <c r="Z7" s="309"/>
      <c r="AA7" s="309" t="s">
        <v>4</v>
      </c>
      <c r="AB7" s="309"/>
      <c r="AC7" s="309"/>
      <c r="AD7" s="309"/>
      <c r="AE7" s="309"/>
      <c r="AF7" s="309"/>
      <c r="AG7" s="309"/>
      <c r="AH7" s="309"/>
      <c r="AI7" s="309"/>
      <c r="AJ7" s="309"/>
      <c r="AK7" s="309" t="str">
        <f>AA7</f>
        <v>Quyết toán</v>
      </c>
      <c r="AL7" s="309"/>
      <c r="AM7" s="309"/>
      <c r="AN7" s="309"/>
      <c r="AO7" s="309"/>
      <c r="AP7" s="309"/>
      <c r="AQ7" s="309"/>
      <c r="AR7" s="309"/>
      <c r="AS7" s="309"/>
      <c r="AT7" s="309"/>
      <c r="AU7" s="309"/>
      <c r="AV7" s="309"/>
      <c r="AW7" s="309"/>
      <c r="AX7" s="309"/>
      <c r="AY7" s="309" t="s">
        <v>122</v>
      </c>
      <c r="AZ7" s="309"/>
      <c r="BA7" s="309"/>
      <c r="BB7" s="309" t="s">
        <v>122</v>
      </c>
      <c r="BC7" s="309"/>
      <c r="BD7" s="309"/>
      <c r="BE7" s="309"/>
      <c r="BF7" s="309"/>
      <c r="BG7" s="309"/>
      <c r="BH7" s="309"/>
      <c r="BI7" s="309"/>
      <c r="BJ7" s="309"/>
      <c r="BK7" s="309"/>
      <c r="BL7" s="309"/>
      <c r="BM7" s="309"/>
      <c r="BN7" s="309"/>
      <c r="BO7" s="309"/>
      <c r="BP7" s="309"/>
      <c r="BQ7" s="309"/>
      <c r="BR7" s="309"/>
      <c r="BS7" s="309"/>
      <c r="BT7" s="309"/>
      <c r="BU7" s="309"/>
      <c r="BV7" s="309"/>
    </row>
    <row r="8" spans="1:74" ht="42.75" customHeight="1">
      <c r="A8" s="309"/>
      <c r="B8" s="309"/>
      <c r="C8" s="309" t="s">
        <v>58</v>
      </c>
      <c r="D8" s="309" t="s">
        <v>91</v>
      </c>
      <c r="E8" s="309"/>
      <c r="F8" s="309" t="s">
        <v>463</v>
      </c>
      <c r="G8" s="309"/>
      <c r="H8" s="309"/>
      <c r="I8" s="309"/>
      <c r="J8" s="309"/>
      <c r="K8" s="309"/>
      <c r="L8" s="309"/>
      <c r="M8" s="309" t="s">
        <v>464</v>
      </c>
      <c r="N8" s="309"/>
      <c r="O8" s="309"/>
      <c r="P8" s="309"/>
      <c r="Q8" s="309"/>
      <c r="R8" s="309"/>
      <c r="S8" s="309"/>
      <c r="T8" s="309" t="s">
        <v>465</v>
      </c>
      <c r="U8" s="309"/>
      <c r="V8" s="309"/>
      <c r="W8" s="309"/>
      <c r="X8" s="309"/>
      <c r="Y8" s="309"/>
      <c r="Z8" s="309"/>
      <c r="AA8" s="309" t="s">
        <v>58</v>
      </c>
      <c r="AB8" s="309" t="s">
        <v>91</v>
      </c>
      <c r="AC8" s="309"/>
      <c r="AD8" s="309" t="s">
        <v>463</v>
      </c>
      <c r="AE8" s="309"/>
      <c r="AF8" s="309"/>
      <c r="AG8" s="309"/>
      <c r="AH8" s="309"/>
      <c r="AI8" s="309"/>
      <c r="AJ8" s="309"/>
      <c r="AK8" s="309" t="s">
        <v>464</v>
      </c>
      <c r="AL8" s="309"/>
      <c r="AM8" s="309"/>
      <c r="AN8" s="309"/>
      <c r="AO8" s="309"/>
      <c r="AP8" s="309"/>
      <c r="AQ8" s="309"/>
      <c r="AR8" s="309" t="s">
        <v>465</v>
      </c>
      <c r="AS8" s="309"/>
      <c r="AT8" s="309"/>
      <c r="AU8" s="309"/>
      <c r="AV8" s="309"/>
      <c r="AW8" s="309"/>
      <c r="AX8" s="309"/>
      <c r="AY8" s="309" t="s">
        <v>58</v>
      </c>
      <c r="AZ8" s="309" t="s">
        <v>91</v>
      </c>
      <c r="BA8" s="309"/>
      <c r="BB8" s="309" t="s">
        <v>463</v>
      </c>
      <c r="BC8" s="309"/>
      <c r="BD8" s="309"/>
      <c r="BE8" s="309"/>
      <c r="BF8" s="309"/>
      <c r="BG8" s="309"/>
      <c r="BH8" s="309"/>
      <c r="BI8" s="309" t="s">
        <v>464</v>
      </c>
      <c r="BJ8" s="309"/>
      <c r="BK8" s="309"/>
      <c r="BL8" s="309"/>
      <c r="BM8" s="309"/>
      <c r="BN8" s="309"/>
      <c r="BO8" s="309"/>
      <c r="BP8" s="309" t="s">
        <v>506</v>
      </c>
      <c r="BQ8" s="309"/>
      <c r="BR8" s="309"/>
      <c r="BS8" s="309"/>
      <c r="BT8" s="309"/>
      <c r="BU8" s="309"/>
      <c r="BV8" s="309"/>
    </row>
    <row r="9" spans="1:74" ht="35.25" customHeight="1">
      <c r="A9" s="309"/>
      <c r="B9" s="309"/>
      <c r="C9" s="309"/>
      <c r="D9" s="309" t="s">
        <v>123</v>
      </c>
      <c r="E9" s="309" t="s">
        <v>124</v>
      </c>
      <c r="F9" s="309" t="s">
        <v>58</v>
      </c>
      <c r="G9" s="309" t="s">
        <v>9</v>
      </c>
      <c r="H9" s="309"/>
      <c r="I9" s="309"/>
      <c r="J9" s="309" t="s">
        <v>124</v>
      </c>
      <c r="K9" s="309"/>
      <c r="L9" s="309"/>
      <c r="M9" s="309" t="s">
        <v>58</v>
      </c>
      <c r="N9" s="309" t="s">
        <v>9</v>
      </c>
      <c r="O9" s="309"/>
      <c r="P9" s="309"/>
      <c r="Q9" s="309" t="s">
        <v>124</v>
      </c>
      <c r="R9" s="309"/>
      <c r="S9" s="309"/>
      <c r="T9" s="309" t="s">
        <v>58</v>
      </c>
      <c r="U9" s="309" t="s">
        <v>9</v>
      </c>
      <c r="V9" s="309"/>
      <c r="W9" s="309"/>
      <c r="X9" s="309" t="s">
        <v>124</v>
      </c>
      <c r="Y9" s="309"/>
      <c r="Z9" s="309"/>
      <c r="AA9" s="309"/>
      <c r="AB9" s="309" t="s">
        <v>123</v>
      </c>
      <c r="AC9" s="309" t="s">
        <v>124</v>
      </c>
      <c r="AD9" s="309" t="s">
        <v>58</v>
      </c>
      <c r="AE9" s="309" t="s">
        <v>9</v>
      </c>
      <c r="AF9" s="309"/>
      <c r="AG9" s="309"/>
      <c r="AH9" s="309" t="s">
        <v>124</v>
      </c>
      <c r="AI9" s="309"/>
      <c r="AJ9" s="309"/>
      <c r="AK9" s="309" t="s">
        <v>58</v>
      </c>
      <c r="AL9" s="309" t="s">
        <v>9</v>
      </c>
      <c r="AM9" s="309"/>
      <c r="AN9" s="309"/>
      <c r="AO9" s="309" t="s">
        <v>124</v>
      </c>
      <c r="AP9" s="309"/>
      <c r="AQ9" s="309"/>
      <c r="AR9" s="309" t="s">
        <v>58</v>
      </c>
      <c r="AS9" s="309" t="s">
        <v>9</v>
      </c>
      <c r="AT9" s="309"/>
      <c r="AU9" s="309"/>
      <c r="AV9" s="309" t="s">
        <v>124</v>
      </c>
      <c r="AW9" s="309"/>
      <c r="AX9" s="309"/>
      <c r="AY9" s="309"/>
      <c r="AZ9" s="309" t="s">
        <v>123</v>
      </c>
      <c r="BA9" s="309" t="s">
        <v>124</v>
      </c>
      <c r="BB9" s="309" t="s">
        <v>58</v>
      </c>
      <c r="BC9" s="309" t="s">
        <v>9</v>
      </c>
      <c r="BD9" s="309"/>
      <c r="BE9" s="309"/>
      <c r="BF9" s="309" t="s">
        <v>124</v>
      </c>
      <c r="BG9" s="309"/>
      <c r="BH9" s="309"/>
      <c r="BI9" s="309" t="s">
        <v>58</v>
      </c>
      <c r="BJ9" s="309" t="s">
        <v>9</v>
      </c>
      <c r="BK9" s="309"/>
      <c r="BL9" s="309"/>
      <c r="BM9" s="309" t="s">
        <v>124</v>
      </c>
      <c r="BN9" s="309"/>
      <c r="BO9" s="309"/>
      <c r="BP9" s="309" t="s">
        <v>58</v>
      </c>
      <c r="BQ9" s="309" t="s">
        <v>9</v>
      </c>
      <c r="BR9" s="309"/>
      <c r="BS9" s="309"/>
      <c r="BT9" s="309" t="s">
        <v>124</v>
      </c>
      <c r="BU9" s="309"/>
      <c r="BV9" s="309"/>
    </row>
    <row r="10" spans="1:74" ht="17.25" customHeight="1">
      <c r="A10" s="309"/>
      <c r="B10" s="309"/>
      <c r="C10" s="309"/>
      <c r="D10" s="309"/>
      <c r="E10" s="309"/>
      <c r="F10" s="309"/>
      <c r="G10" s="309" t="s">
        <v>58</v>
      </c>
      <c r="H10" s="309" t="s">
        <v>125</v>
      </c>
      <c r="I10" s="309"/>
      <c r="J10" s="309" t="s">
        <v>58</v>
      </c>
      <c r="K10" s="309" t="s">
        <v>125</v>
      </c>
      <c r="L10" s="309"/>
      <c r="M10" s="309"/>
      <c r="N10" s="309" t="s">
        <v>58</v>
      </c>
      <c r="O10" s="309" t="s">
        <v>125</v>
      </c>
      <c r="P10" s="309"/>
      <c r="Q10" s="309" t="s">
        <v>58</v>
      </c>
      <c r="R10" s="309" t="s">
        <v>125</v>
      </c>
      <c r="S10" s="309"/>
      <c r="T10" s="309"/>
      <c r="U10" s="309" t="s">
        <v>58</v>
      </c>
      <c r="V10" s="309" t="s">
        <v>125</v>
      </c>
      <c r="W10" s="309"/>
      <c r="X10" s="309" t="s">
        <v>58</v>
      </c>
      <c r="Y10" s="309" t="s">
        <v>125</v>
      </c>
      <c r="Z10" s="309"/>
      <c r="AA10" s="309"/>
      <c r="AB10" s="309"/>
      <c r="AC10" s="309"/>
      <c r="AD10" s="309"/>
      <c r="AE10" s="309" t="s">
        <v>58</v>
      </c>
      <c r="AF10" s="309" t="s">
        <v>125</v>
      </c>
      <c r="AG10" s="309"/>
      <c r="AH10" s="309" t="s">
        <v>58</v>
      </c>
      <c r="AI10" s="309" t="s">
        <v>125</v>
      </c>
      <c r="AJ10" s="309"/>
      <c r="AK10" s="309"/>
      <c r="AL10" s="309" t="s">
        <v>58</v>
      </c>
      <c r="AM10" s="309" t="s">
        <v>125</v>
      </c>
      <c r="AN10" s="309"/>
      <c r="AO10" s="309" t="s">
        <v>58</v>
      </c>
      <c r="AP10" s="309" t="s">
        <v>125</v>
      </c>
      <c r="AQ10" s="309"/>
      <c r="AR10" s="309"/>
      <c r="AS10" s="309" t="s">
        <v>58</v>
      </c>
      <c r="AT10" s="309" t="s">
        <v>125</v>
      </c>
      <c r="AU10" s="309"/>
      <c r="AV10" s="309" t="s">
        <v>58</v>
      </c>
      <c r="AW10" s="309" t="s">
        <v>125</v>
      </c>
      <c r="AX10" s="309"/>
      <c r="AY10" s="309"/>
      <c r="AZ10" s="309"/>
      <c r="BA10" s="309"/>
      <c r="BB10" s="309"/>
      <c r="BC10" s="309" t="s">
        <v>58</v>
      </c>
      <c r="BD10" s="309" t="s">
        <v>125</v>
      </c>
      <c r="BE10" s="309"/>
      <c r="BF10" s="309" t="s">
        <v>58</v>
      </c>
      <c r="BG10" s="309" t="s">
        <v>125</v>
      </c>
      <c r="BH10" s="309"/>
      <c r="BI10" s="309"/>
      <c r="BJ10" s="309" t="s">
        <v>58</v>
      </c>
      <c r="BK10" s="309" t="s">
        <v>125</v>
      </c>
      <c r="BL10" s="309"/>
      <c r="BM10" s="309" t="s">
        <v>58</v>
      </c>
      <c r="BN10" s="309" t="s">
        <v>125</v>
      </c>
      <c r="BO10" s="309"/>
      <c r="BP10" s="309"/>
      <c r="BQ10" s="309" t="s">
        <v>58</v>
      </c>
      <c r="BR10" s="309" t="s">
        <v>125</v>
      </c>
      <c r="BS10" s="309"/>
      <c r="BT10" s="309" t="s">
        <v>58</v>
      </c>
      <c r="BU10" s="309" t="s">
        <v>125</v>
      </c>
      <c r="BV10" s="309"/>
    </row>
    <row r="11" spans="1:74" ht="59.25" customHeight="1">
      <c r="A11" s="309"/>
      <c r="B11" s="309"/>
      <c r="C11" s="309"/>
      <c r="D11" s="309"/>
      <c r="E11" s="309"/>
      <c r="F11" s="309"/>
      <c r="G11" s="309"/>
      <c r="H11" s="310" t="s">
        <v>110</v>
      </c>
      <c r="I11" s="310" t="s">
        <v>388</v>
      </c>
      <c r="J11" s="309"/>
      <c r="K11" s="310" t="s">
        <v>110</v>
      </c>
      <c r="L11" s="310" t="s">
        <v>388</v>
      </c>
      <c r="M11" s="309"/>
      <c r="N11" s="309"/>
      <c r="O11" s="310" t="s">
        <v>110</v>
      </c>
      <c r="P11" s="310" t="s">
        <v>388</v>
      </c>
      <c r="Q11" s="309"/>
      <c r="R11" s="310" t="s">
        <v>110</v>
      </c>
      <c r="S11" s="310" t="s">
        <v>388</v>
      </c>
      <c r="T11" s="309"/>
      <c r="U11" s="309"/>
      <c r="V11" s="310" t="s">
        <v>110</v>
      </c>
      <c r="W11" s="310" t="s">
        <v>388</v>
      </c>
      <c r="X11" s="309"/>
      <c r="Y11" s="310" t="s">
        <v>110</v>
      </c>
      <c r="Z11" s="310" t="s">
        <v>388</v>
      </c>
      <c r="AA11" s="309"/>
      <c r="AB11" s="309"/>
      <c r="AC11" s="309"/>
      <c r="AD11" s="309"/>
      <c r="AE11" s="309"/>
      <c r="AF11" s="310" t="s">
        <v>110</v>
      </c>
      <c r="AG11" s="310" t="s">
        <v>388</v>
      </c>
      <c r="AH11" s="309"/>
      <c r="AI11" s="310" t="s">
        <v>110</v>
      </c>
      <c r="AJ11" s="310" t="s">
        <v>388</v>
      </c>
      <c r="AK11" s="309"/>
      <c r="AL11" s="309"/>
      <c r="AM11" s="310" t="s">
        <v>110</v>
      </c>
      <c r="AN11" s="310" t="s">
        <v>388</v>
      </c>
      <c r="AO11" s="309"/>
      <c r="AP11" s="310" t="s">
        <v>110</v>
      </c>
      <c r="AQ11" s="310" t="s">
        <v>388</v>
      </c>
      <c r="AR11" s="309"/>
      <c r="AS11" s="309"/>
      <c r="AT11" s="310" t="s">
        <v>110</v>
      </c>
      <c r="AU11" s="310" t="s">
        <v>388</v>
      </c>
      <c r="AV11" s="309"/>
      <c r="AW11" s="310" t="s">
        <v>110</v>
      </c>
      <c r="AX11" s="310" t="s">
        <v>388</v>
      </c>
      <c r="AY11" s="309"/>
      <c r="AZ11" s="309"/>
      <c r="BA11" s="309"/>
      <c r="BB11" s="309"/>
      <c r="BC11" s="309"/>
      <c r="BD11" s="310" t="s">
        <v>110</v>
      </c>
      <c r="BE11" s="310" t="s">
        <v>388</v>
      </c>
      <c r="BF11" s="309"/>
      <c r="BG11" s="310" t="s">
        <v>110</v>
      </c>
      <c r="BH11" s="310" t="s">
        <v>388</v>
      </c>
      <c r="BI11" s="309"/>
      <c r="BJ11" s="309"/>
      <c r="BK11" s="310" t="s">
        <v>110</v>
      </c>
      <c r="BL11" s="310" t="s">
        <v>388</v>
      </c>
      <c r="BM11" s="309"/>
      <c r="BN11" s="310" t="s">
        <v>110</v>
      </c>
      <c r="BO11" s="310" t="s">
        <v>388</v>
      </c>
      <c r="BP11" s="309"/>
      <c r="BQ11" s="309"/>
      <c r="BR11" s="310" t="s">
        <v>110</v>
      </c>
      <c r="BS11" s="310" t="s">
        <v>388</v>
      </c>
      <c r="BT11" s="309"/>
      <c r="BU11" s="310" t="s">
        <v>110</v>
      </c>
      <c r="BV11" s="310" t="s">
        <v>388</v>
      </c>
    </row>
    <row r="12" spans="1:74" ht="32.25" customHeight="1">
      <c r="A12" s="311" t="s">
        <v>6</v>
      </c>
      <c r="B12" s="311" t="s">
        <v>23</v>
      </c>
      <c r="C12" s="311" t="s">
        <v>10</v>
      </c>
      <c r="D12" s="311" t="s">
        <v>18</v>
      </c>
      <c r="E12" s="311" t="s">
        <v>27</v>
      </c>
      <c r="F12" s="311" t="s">
        <v>28</v>
      </c>
      <c r="G12" s="311" t="s">
        <v>29</v>
      </c>
      <c r="H12" s="311" t="s">
        <v>30</v>
      </c>
      <c r="I12" s="311" t="s">
        <v>31</v>
      </c>
      <c r="J12" s="311" t="s">
        <v>32</v>
      </c>
      <c r="K12" s="311" t="s">
        <v>33</v>
      </c>
      <c r="L12" s="311" t="s">
        <v>34</v>
      </c>
      <c r="M12" s="311" t="s">
        <v>35</v>
      </c>
      <c r="N12" s="311" t="s">
        <v>36</v>
      </c>
      <c r="O12" s="311" t="s">
        <v>37</v>
      </c>
      <c r="P12" s="311" t="s">
        <v>38</v>
      </c>
      <c r="Q12" s="311" t="s">
        <v>39</v>
      </c>
      <c r="R12" s="311" t="s">
        <v>40</v>
      </c>
      <c r="S12" s="311" t="s">
        <v>61</v>
      </c>
      <c r="T12" s="311" t="s">
        <v>62</v>
      </c>
      <c r="U12" s="311" t="s">
        <v>63</v>
      </c>
      <c r="V12" s="311" t="s">
        <v>64</v>
      </c>
      <c r="W12" s="311" t="s">
        <v>65</v>
      </c>
      <c r="X12" s="311" t="s">
        <v>66</v>
      </c>
      <c r="Y12" s="311" t="s">
        <v>67</v>
      </c>
      <c r="Z12" s="311" t="s">
        <v>68</v>
      </c>
      <c r="AA12" s="311" t="s">
        <v>69</v>
      </c>
      <c r="AB12" s="311" t="s">
        <v>70</v>
      </c>
      <c r="AC12" s="311" t="s">
        <v>71</v>
      </c>
      <c r="AD12" s="311" t="s">
        <v>126</v>
      </c>
      <c r="AE12" s="311" t="s">
        <v>127</v>
      </c>
      <c r="AF12" s="311" t="s">
        <v>128</v>
      </c>
      <c r="AG12" s="311" t="s">
        <v>129</v>
      </c>
      <c r="AH12" s="311" t="s">
        <v>130</v>
      </c>
      <c r="AI12" s="311" t="s">
        <v>131</v>
      </c>
      <c r="AJ12" s="311" t="s">
        <v>132</v>
      </c>
      <c r="AK12" s="311" t="s">
        <v>264</v>
      </c>
      <c r="AL12" s="311" t="s">
        <v>394</v>
      </c>
      <c r="AM12" s="311" t="s">
        <v>265</v>
      </c>
      <c r="AN12" s="311" t="s">
        <v>266</v>
      </c>
      <c r="AO12" s="311" t="s">
        <v>267</v>
      </c>
      <c r="AP12" s="311" t="s">
        <v>268</v>
      </c>
      <c r="AQ12" s="311" t="s">
        <v>269</v>
      </c>
      <c r="AR12" s="311" t="s">
        <v>270</v>
      </c>
      <c r="AS12" s="311" t="s">
        <v>271</v>
      </c>
      <c r="AT12" s="311" t="s">
        <v>272</v>
      </c>
      <c r="AU12" s="311" t="s">
        <v>273</v>
      </c>
      <c r="AV12" s="311" t="s">
        <v>309</v>
      </c>
      <c r="AW12" s="311" t="s">
        <v>310</v>
      </c>
      <c r="AX12" s="311" t="s">
        <v>311</v>
      </c>
      <c r="AY12" s="311" t="s">
        <v>481</v>
      </c>
      <c r="AZ12" s="311" t="s">
        <v>482</v>
      </c>
      <c r="BA12" s="311" t="s">
        <v>483</v>
      </c>
      <c r="BB12" s="311" t="s">
        <v>484</v>
      </c>
      <c r="BC12" s="311" t="s">
        <v>485</v>
      </c>
      <c r="BD12" s="311" t="s">
        <v>486</v>
      </c>
      <c r="BE12" s="311" t="s">
        <v>487</v>
      </c>
      <c r="BF12" s="311" t="s">
        <v>488</v>
      </c>
      <c r="BG12" s="311" t="s">
        <v>489</v>
      </c>
      <c r="BH12" s="311" t="s">
        <v>490</v>
      </c>
      <c r="BI12" s="311" t="s">
        <v>491</v>
      </c>
      <c r="BJ12" s="311" t="s">
        <v>492</v>
      </c>
      <c r="BK12" s="311" t="s">
        <v>493</v>
      </c>
      <c r="BL12" s="311" t="s">
        <v>494</v>
      </c>
      <c r="BM12" s="311" t="s">
        <v>495</v>
      </c>
      <c r="BN12" s="311" t="s">
        <v>496</v>
      </c>
      <c r="BO12" s="311" t="s">
        <v>497</v>
      </c>
      <c r="BP12" s="311" t="s">
        <v>498</v>
      </c>
      <c r="BQ12" s="311" t="s">
        <v>499</v>
      </c>
      <c r="BR12" s="311" t="s">
        <v>500</v>
      </c>
      <c r="BS12" s="311" t="s">
        <v>501</v>
      </c>
      <c r="BT12" s="311" t="s">
        <v>502</v>
      </c>
      <c r="BU12" s="311" t="s">
        <v>503</v>
      </c>
      <c r="BV12" s="311" t="s">
        <v>504</v>
      </c>
    </row>
    <row r="13" spans="1:74" s="102" customFormat="1" ht="26.25" customHeight="1">
      <c r="A13" s="310" t="s">
        <v>0</v>
      </c>
      <c r="B13" s="310" t="s">
        <v>100</v>
      </c>
      <c r="C13" s="312">
        <f t="shared" ref="C13:AX13" si="0">C14+C39</f>
        <v>118361</v>
      </c>
      <c r="D13" s="312">
        <f t="shared" si="0"/>
        <v>68392</v>
      </c>
      <c r="E13" s="312">
        <f t="shared" si="0"/>
        <v>49969</v>
      </c>
      <c r="F13" s="312">
        <f t="shared" si="0"/>
        <v>12112</v>
      </c>
      <c r="G13" s="312">
        <f t="shared" si="0"/>
        <v>0</v>
      </c>
      <c r="H13" s="312">
        <f t="shared" si="0"/>
        <v>0</v>
      </c>
      <c r="I13" s="312">
        <f t="shared" si="0"/>
        <v>0</v>
      </c>
      <c r="J13" s="312">
        <f t="shared" si="0"/>
        <v>12112</v>
      </c>
      <c r="K13" s="312">
        <f t="shared" si="0"/>
        <v>12112</v>
      </c>
      <c r="L13" s="312">
        <f t="shared" si="0"/>
        <v>0</v>
      </c>
      <c r="M13" s="312">
        <f t="shared" si="0"/>
        <v>7885</v>
      </c>
      <c r="N13" s="312">
        <f t="shared" si="0"/>
        <v>3039</v>
      </c>
      <c r="O13" s="312">
        <f t="shared" si="0"/>
        <v>3039</v>
      </c>
      <c r="P13" s="312">
        <f t="shared" si="0"/>
        <v>0</v>
      </c>
      <c r="Q13" s="312">
        <f t="shared" si="0"/>
        <v>4846</v>
      </c>
      <c r="R13" s="312">
        <f t="shared" si="0"/>
        <v>4846</v>
      </c>
      <c r="S13" s="312">
        <f t="shared" si="0"/>
        <v>0</v>
      </c>
      <c r="T13" s="312">
        <f t="shared" si="0"/>
        <v>98364</v>
      </c>
      <c r="U13" s="312">
        <f t="shared" si="0"/>
        <v>65353</v>
      </c>
      <c r="V13" s="312">
        <f t="shared" si="0"/>
        <v>65353</v>
      </c>
      <c r="W13" s="312">
        <f t="shared" si="0"/>
        <v>0</v>
      </c>
      <c r="X13" s="312">
        <f t="shared" si="0"/>
        <v>33011</v>
      </c>
      <c r="Y13" s="312">
        <f t="shared" si="0"/>
        <v>33011</v>
      </c>
      <c r="Z13" s="312">
        <f t="shared" si="0"/>
        <v>0</v>
      </c>
      <c r="AA13" s="312">
        <f t="shared" si="0"/>
        <v>121346.62002700001</v>
      </c>
      <c r="AB13" s="312">
        <f t="shared" si="0"/>
        <v>96926.955043000009</v>
      </c>
      <c r="AC13" s="312">
        <f t="shared" si="0"/>
        <v>24419.664983999999</v>
      </c>
      <c r="AD13" s="312">
        <f t="shared" si="0"/>
        <v>5131.2852899999998</v>
      </c>
      <c r="AE13" s="312">
        <f t="shared" si="0"/>
        <v>0</v>
      </c>
      <c r="AF13" s="312">
        <f t="shared" si="0"/>
        <v>0</v>
      </c>
      <c r="AG13" s="312">
        <f t="shared" si="0"/>
        <v>0</v>
      </c>
      <c r="AH13" s="312">
        <f t="shared" si="0"/>
        <v>5131.2852899999998</v>
      </c>
      <c r="AI13" s="312">
        <f t="shared" si="0"/>
        <v>5131.2852899999998</v>
      </c>
      <c r="AJ13" s="312">
        <f t="shared" si="0"/>
        <v>0</v>
      </c>
      <c r="AK13" s="312">
        <f t="shared" si="0"/>
        <v>14912.162471</v>
      </c>
      <c r="AL13" s="312">
        <f t="shared" si="0"/>
        <v>11898.254199999998</v>
      </c>
      <c r="AM13" s="312">
        <f t="shared" si="0"/>
        <v>11898.254199999998</v>
      </c>
      <c r="AN13" s="312">
        <f t="shared" si="0"/>
        <v>0</v>
      </c>
      <c r="AO13" s="312">
        <f t="shared" si="0"/>
        <v>3013.9082710000002</v>
      </c>
      <c r="AP13" s="312">
        <f t="shared" si="0"/>
        <v>3013.9082710000002</v>
      </c>
      <c r="AQ13" s="312">
        <f t="shared" si="0"/>
        <v>0</v>
      </c>
      <c r="AR13" s="312">
        <f t="shared" si="0"/>
        <v>101303.17226599998</v>
      </c>
      <c r="AS13" s="312">
        <f t="shared" si="0"/>
        <v>85028.700842999999</v>
      </c>
      <c r="AT13" s="312">
        <f t="shared" si="0"/>
        <v>85028.700842999999</v>
      </c>
      <c r="AU13" s="312">
        <f t="shared" si="0"/>
        <v>0</v>
      </c>
      <c r="AV13" s="312">
        <f t="shared" si="0"/>
        <v>16274.471422999997</v>
      </c>
      <c r="AW13" s="312">
        <f t="shared" si="0"/>
        <v>16274.471422999997</v>
      </c>
      <c r="AX13" s="312">
        <f t="shared" si="0"/>
        <v>0</v>
      </c>
      <c r="AY13" s="313">
        <f>AA13/C13</f>
        <v>1.0252246941729117</v>
      </c>
      <c r="AZ13" s="313">
        <f t="shared" ref="AZ13" si="1">AB13/D13</f>
        <v>1.4172265037285063</v>
      </c>
      <c r="BA13" s="313">
        <f>AC13/E13</f>
        <v>0.48869629138065601</v>
      </c>
      <c r="BB13" s="313">
        <f>AD13/F13</f>
        <v>0.4236530127146631</v>
      </c>
      <c r="BC13" s="313"/>
      <c r="BD13" s="313"/>
      <c r="BE13" s="313"/>
      <c r="BF13" s="313">
        <f t="shared" ref="BF13" si="2">AH13/J13</f>
        <v>0.4236530127146631</v>
      </c>
      <c r="BG13" s="313">
        <f>AI13/K13</f>
        <v>0.4236530127146631</v>
      </c>
      <c r="BH13" s="313"/>
      <c r="BI13" s="313">
        <f>AK13/M13</f>
        <v>1.8912064008877616</v>
      </c>
      <c r="BJ13" s="313">
        <f t="shared" ref="BJ13:BN13" si="3">AL13/N13</f>
        <v>3.9151872984534379</v>
      </c>
      <c r="BK13" s="313">
        <f t="shared" si="3"/>
        <v>3.9151872984534379</v>
      </c>
      <c r="BL13" s="313"/>
      <c r="BM13" s="313">
        <f t="shared" si="3"/>
        <v>0.62193732377218325</v>
      </c>
      <c r="BN13" s="313">
        <f t="shared" si="3"/>
        <v>0.62193732377218325</v>
      </c>
      <c r="BO13" s="313"/>
      <c r="BP13" s="313">
        <f>AR13/T13</f>
        <v>1.029880568764995</v>
      </c>
      <c r="BQ13" s="313">
        <f t="shared" ref="BQ13:BU13" si="4">AS13/U13</f>
        <v>1.3010680587425214</v>
      </c>
      <c r="BR13" s="313">
        <f t="shared" si="4"/>
        <v>1.3010680587425214</v>
      </c>
      <c r="BS13" s="313"/>
      <c r="BT13" s="313">
        <f t="shared" si="4"/>
        <v>0.49300146687467805</v>
      </c>
      <c r="BU13" s="313">
        <f t="shared" si="4"/>
        <v>0.49300146687467805</v>
      </c>
      <c r="BV13" s="314"/>
    </row>
    <row r="14" spans="1:74" s="102" customFormat="1" ht="21.95" customHeight="1">
      <c r="A14" s="310" t="s">
        <v>8</v>
      </c>
      <c r="B14" s="315" t="s">
        <v>54</v>
      </c>
      <c r="C14" s="312">
        <f t="shared" ref="C14:AX14" si="5">SUM(C15:C38)</f>
        <v>81654</v>
      </c>
      <c r="D14" s="312">
        <f t="shared" si="5"/>
        <v>66185</v>
      </c>
      <c r="E14" s="312">
        <f t="shared" si="5"/>
        <v>15468.999999999998</v>
      </c>
      <c r="F14" s="312">
        <f t="shared" si="5"/>
        <v>6062</v>
      </c>
      <c r="G14" s="312">
        <f t="shared" si="5"/>
        <v>0</v>
      </c>
      <c r="H14" s="312">
        <f t="shared" si="5"/>
        <v>0</v>
      </c>
      <c r="I14" s="312">
        <f t="shared" si="5"/>
        <v>0</v>
      </c>
      <c r="J14" s="312">
        <f t="shared" si="5"/>
        <v>6062</v>
      </c>
      <c r="K14" s="312">
        <f t="shared" si="5"/>
        <v>6062</v>
      </c>
      <c r="L14" s="312">
        <f t="shared" si="5"/>
        <v>0</v>
      </c>
      <c r="M14" s="312">
        <f t="shared" si="5"/>
        <v>5833</v>
      </c>
      <c r="N14" s="312">
        <f t="shared" si="5"/>
        <v>3039</v>
      </c>
      <c r="O14" s="312">
        <f t="shared" si="5"/>
        <v>3039</v>
      </c>
      <c r="P14" s="312">
        <f t="shared" si="5"/>
        <v>0</v>
      </c>
      <c r="Q14" s="312">
        <f t="shared" si="5"/>
        <v>2794</v>
      </c>
      <c r="R14" s="312">
        <f t="shared" si="5"/>
        <v>2794</v>
      </c>
      <c r="S14" s="312">
        <f t="shared" si="5"/>
        <v>0</v>
      </c>
      <c r="T14" s="312">
        <f t="shared" si="5"/>
        <v>69759</v>
      </c>
      <c r="U14" s="312">
        <f t="shared" si="5"/>
        <v>63146</v>
      </c>
      <c r="V14" s="312">
        <f t="shared" si="5"/>
        <v>63146</v>
      </c>
      <c r="W14" s="312">
        <f t="shared" si="5"/>
        <v>0</v>
      </c>
      <c r="X14" s="312">
        <f t="shared" si="5"/>
        <v>6613</v>
      </c>
      <c r="Y14" s="312">
        <f t="shared" si="5"/>
        <v>6613</v>
      </c>
      <c r="Z14" s="312">
        <f t="shared" si="5"/>
        <v>0</v>
      </c>
      <c r="AA14" s="312">
        <f t="shared" si="5"/>
        <v>102963.75896200001</v>
      </c>
      <c r="AB14" s="312">
        <f t="shared" si="5"/>
        <v>96714.936543000003</v>
      </c>
      <c r="AC14" s="312">
        <f t="shared" si="5"/>
        <v>6248.822419000001</v>
      </c>
      <c r="AD14" s="312">
        <f t="shared" si="5"/>
        <v>1213.8093200000001</v>
      </c>
      <c r="AE14" s="312">
        <f t="shared" si="5"/>
        <v>0</v>
      </c>
      <c r="AF14" s="312">
        <f t="shared" si="5"/>
        <v>0</v>
      </c>
      <c r="AG14" s="312">
        <f t="shared" si="5"/>
        <v>0</v>
      </c>
      <c r="AH14" s="312">
        <f t="shared" si="5"/>
        <v>1213.8093200000001</v>
      </c>
      <c r="AI14" s="312">
        <f t="shared" si="5"/>
        <v>1213.8093200000001</v>
      </c>
      <c r="AJ14" s="312">
        <f t="shared" si="5"/>
        <v>0</v>
      </c>
      <c r="AK14" s="312">
        <f t="shared" si="5"/>
        <v>13029.302079999999</v>
      </c>
      <c r="AL14" s="312">
        <f t="shared" si="5"/>
        <v>11898.254199999998</v>
      </c>
      <c r="AM14" s="312">
        <f t="shared" si="5"/>
        <v>11898.254199999998</v>
      </c>
      <c r="AN14" s="312">
        <f t="shared" si="5"/>
        <v>0</v>
      </c>
      <c r="AO14" s="312">
        <f t="shared" si="5"/>
        <v>1131.0478800000001</v>
      </c>
      <c r="AP14" s="312">
        <f t="shared" si="5"/>
        <v>1131.0478800000001</v>
      </c>
      <c r="AQ14" s="312">
        <f t="shared" si="5"/>
        <v>0</v>
      </c>
      <c r="AR14" s="312">
        <f t="shared" si="5"/>
        <v>88720.647561999984</v>
      </c>
      <c r="AS14" s="312">
        <f t="shared" si="5"/>
        <v>84816.682342999993</v>
      </c>
      <c r="AT14" s="312">
        <f t="shared" si="5"/>
        <v>84816.682342999993</v>
      </c>
      <c r="AU14" s="312">
        <f t="shared" si="5"/>
        <v>0</v>
      </c>
      <c r="AV14" s="312">
        <f t="shared" si="5"/>
        <v>3903.9652190000002</v>
      </c>
      <c r="AW14" s="312">
        <f t="shared" si="5"/>
        <v>3903.9652190000002</v>
      </c>
      <c r="AX14" s="312">
        <f t="shared" si="5"/>
        <v>0</v>
      </c>
      <c r="AY14" s="313">
        <f t="shared" ref="AY14:AY15" si="6">AA14/C14</f>
        <v>1.2609763019815319</v>
      </c>
      <c r="AZ14" s="313">
        <f t="shared" ref="AZ14:AZ15" si="7">AB14/D14</f>
        <v>1.46128180921659</v>
      </c>
      <c r="BA14" s="313">
        <f t="shared" ref="BA14" si="8">AC14/E14</f>
        <v>0.40395774898183473</v>
      </c>
      <c r="BB14" s="313">
        <f t="shared" ref="BB14" si="9">AD14/F14</f>
        <v>0.20023248432860444</v>
      </c>
      <c r="BC14" s="313"/>
      <c r="BD14" s="313"/>
      <c r="BE14" s="313"/>
      <c r="BF14" s="313">
        <f t="shared" ref="BF14" si="10">AH14/J14</f>
        <v>0.20023248432860444</v>
      </c>
      <c r="BG14" s="313">
        <f t="shared" ref="BG14" si="11">AI14/K14</f>
        <v>0.20023248432860444</v>
      </c>
      <c r="BH14" s="313"/>
      <c r="BI14" s="313">
        <f t="shared" ref="BI14" si="12">AK14/M14</f>
        <v>2.2337222835590604</v>
      </c>
      <c r="BJ14" s="313">
        <f t="shared" ref="BJ14" si="13">AL14/N14</f>
        <v>3.9151872984534379</v>
      </c>
      <c r="BK14" s="313">
        <f t="shared" ref="BK14" si="14">AM14/O14</f>
        <v>3.9151872984534379</v>
      </c>
      <c r="BL14" s="313"/>
      <c r="BM14" s="313">
        <f t="shared" ref="BM14:BM17" si="15">AO14/Q14</f>
        <v>0.40481312813171083</v>
      </c>
      <c r="BN14" s="313">
        <f t="shared" ref="BN14:BN17" si="16">AP14/R14</f>
        <v>0.40481312813171083</v>
      </c>
      <c r="BO14" s="313"/>
      <c r="BP14" s="313">
        <f t="shared" ref="BP14:BP16" si="17">AR14/T14</f>
        <v>1.2718165048524201</v>
      </c>
      <c r="BQ14" s="313">
        <f t="shared" ref="BQ14:BQ16" si="18">AS14/U14</f>
        <v>1.3431837700408575</v>
      </c>
      <c r="BR14" s="313">
        <f t="shared" ref="BR14:BR16" si="19">AT14/V14</f>
        <v>1.3431837700408575</v>
      </c>
      <c r="BS14" s="313"/>
      <c r="BT14" s="313">
        <f t="shared" ref="BT14:BT16" si="20">AV14/X14</f>
        <v>0.59034707681838805</v>
      </c>
      <c r="BU14" s="313">
        <f t="shared" ref="BU14:BU16" si="21">AW14/Y14</f>
        <v>0.59034707681838805</v>
      </c>
      <c r="BV14" s="314"/>
    </row>
    <row r="15" spans="1:74" ht="20.100000000000001" customHeight="1">
      <c r="A15" s="316" t="s">
        <v>10</v>
      </c>
      <c r="B15" s="317" t="s">
        <v>466</v>
      </c>
      <c r="C15" s="318">
        <f t="shared" ref="C15:C38" si="22">D15+E15</f>
        <v>32880</v>
      </c>
      <c r="D15" s="318">
        <f>G15+N15+U15</f>
        <v>32880</v>
      </c>
      <c r="E15" s="318">
        <f>J15+Q15+X15</f>
        <v>0</v>
      </c>
      <c r="F15" s="318">
        <f t="shared" ref="F15:F38" si="23">G15+J15</f>
        <v>0</v>
      </c>
      <c r="G15" s="318">
        <f t="shared" ref="G15:G38" si="24">H15+I15</f>
        <v>0</v>
      </c>
      <c r="H15" s="318"/>
      <c r="I15" s="318"/>
      <c r="J15" s="318">
        <f t="shared" ref="J15:J38" si="25">K15+L15</f>
        <v>0</v>
      </c>
      <c r="K15" s="318"/>
      <c r="L15" s="318"/>
      <c r="M15" s="318">
        <f>N15+Q15</f>
        <v>0</v>
      </c>
      <c r="N15" s="318">
        <f>O15+P15</f>
        <v>0</v>
      </c>
      <c r="O15" s="318"/>
      <c r="P15" s="318"/>
      <c r="Q15" s="318">
        <f>R15+S15</f>
        <v>0</v>
      </c>
      <c r="R15" s="318"/>
      <c r="S15" s="318"/>
      <c r="T15" s="318">
        <f>U15+X15</f>
        <v>32880</v>
      </c>
      <c r="U15" s="318">
        <f>V15+W15</f>
        <v>32880</v>
      </c>
      <c r="V15" s="318">
        <f>31165+1840-54-71</f>
        <v>32880</v>
      </c>
      <c r="W15" s="318"/>
      <c r="X15" s="318">
        <f>Y15+Z15</f>
        <v>0</v>
      </c>
      <c r="Y15" s="318"/>
      <c r="Z15" s="318"/>
      <c r="AA15" s="318">
        <f t="shared" ref="AA15:AA16" si="26">AB15+AC15</f>
        <v>46996.835423999997</v>
      </c>
      <c r="AB15" s="318">
        <f>AE15+AL15+AS15</f>
        <v>46849.835423999997</v>
      </c>
      <c r="AC15" s="318">
        <f>AH15+AO15+AV15</f>
        <v>147</v>
      </c>
      <c r="AD15" s="318">
        <f t="shared" ref="AD15:AD38" si="27">AE15+AH15</f>
        <v>0</v>
      </c>
      <c r="AE15" s="318">
        <f t="shared" ref="AE15:AE38" si="28">AF15+AG15</f>
        <v>0</v>
      </c>
      <c r="AF15" s="318"/>
      <c r="AG15" s="318"/>
      <c r="AH15" s="318">
        <f t="shared" ref="AH15:AH38" si="29">AI15+AJ15</f>
        <v>0</v>
      </c>
      <c r="AI15" s="318"/>
      <c r="AJ15" s="318"/>
      <c r="AK15" s="318">
        <f t="shared" ref="AK15:AK38" si="30">AL15+AO15</f>
        <v>0</v>
      </c>
      <c r="AL15" s="318">
        <f t="shared" ref="AL15:AL38" si="31">AM15+AN15</f>
        <v>0</v>
      </c>
      <c r="AM15" s="318"/>
      <c r="AN15" s="318"/>
      <c r="AO15" s="318">
        <f t="shared" ref="AO15:AO38" si="32">AP15+AQ15</f>
        <v>0</v>
      </c>
      <c r="AP15" s="318"/>
      <c r="AQ15" s="318"/>
      <c r="AR15" s="318">
        <f t="shared" ref="AR15:AR38" si="33">AS15+AV15</f>
        <v>46996.835423999997</v>
      </c>
      <c r="AS15" s="318">
        <f t="shared" ref="AS15:AS38" si="34">AT15+AU15</f>
        <v>46849.835423999997</v>
      </c>
      <c r="AT15" s="318">
        <v>46849.835423999997</v>
      </c>
      <c r="AU15" s="318"/>
      <c r="AV15" s="318">
        <f t="shared" ref="AV15:AV38" si="35">AW15+AX15</f>
        <v>147</v>
      </c>
      <c r="AW15" s="318">
        <v>147</v>
      </c>
      <c r="AX15" s="318"/>
      <c r="AY15" s="319">
        <f t="shared" si="6"/>
        <v>1.4293441430656932</v>
      </c>
      <c r="AZ15" s="319">
        <f t="shared" si="7"/>
        <v>1.4248733401459852</v>
      </c>
      <c r="BA15" s="319"/>
      <c r="BB15" s="319"/>
      <c r="BC15" s="319"/>
      <c r="BD15" s="319"/>
      <c r="BE15" s="319"/>
      <c r="BF15" s="319"/>
      <c r="BG15" s="319"/>
      <c r="BH15" s="319"/>
      <c r="BI15" s="319"/>
      <c r="BJ15" s="319"/>
      <c r="BK15" s="319"/>
      <c r="BL15" s="319"/>
      <c r="BM15" s="319"/>
      <c r="BN15" s="319"/>
      <c r="BO15" s="319"/>
      <c r="BP15" s="319">
        <f t="shared" si="17"/>
        <v>1.4293441430656932</v>
      </c>
      <c r="BQ15" s="319">
        <f t="shared" si="18"/>
        <v>1.4248733401459852</v>
      </c>
      <c r="BR15" s="319">
        <f t="shared" si="19"/>
        <v>1.4248733401459852</v>
      </c>
      <c r="BS15" s="319"/>
      <c r="BT15" s="319"/>
      <c r="BU15" s="319"/>
      <c r="BV15" s="320"/>
    </row>
    <row r="16" spans="1:74" ht="20.100000000000001" customHeight="1">
      <c r="A16" s="316" t="s">
        <v>18</v>
      </c>
      <c r="B16" s="317" t="s">
        <v>84</v>
      </c>
      <c r="C16" s="318">
        <f t="shared" si="22"/>
        <v>5986</v>
      </c>
      <c r="D16" s="318">
        <f t="shared" ref="D16:D38" si="36">G16+N16+U16</f>
        <v>3400</v>
      </c>
      <c r="E16" s="318">
        <f t="shared" ref="E16:E38" si="37">J16+Q16+X16</f>
        <v>2586</v>
      </c>
      <c r="F16" s="318">
        <f t="shared" ref="F16:F37" si="38">G16+J16</f>
        <v>0</v>
      </c>
      <c r="G16" s="318">
        <f t="shared" ref="G16:G37" si="39">H16+I16</f>
        <v>0</v>
      </c>
      <c r="H16" s="318"/>
      <c r="I16" s="318"/>
      <c r="J16" s="318">
        <f t="shared" ref="J16:J37" si="40">K16+L16</f>
        <v>0</v>
      </c>
      <c r="K16" s="318"/>
      <c r="L16" s="318"/>
      <c r="M16" s="318">
        <f t="shared" ref="M16:M37" si="41">N16+Q16</f>
        <v>0</v>
      </c>
      <c r="N16" s="318">
        <f t="shared" ref="N16:N37" si="42">O16+P16</f>
        <v>0</v>
      </c>
      <c r="O16" s="318"/>
      <c r="P16" s="318"/>
      <c r="Q16" s="318">
        <f t="shared" ref="Q16:Q37" si="43">R16+S16</f>
        <v>0</v>
      </c>
      <c r="R16" s="318"/>
      <c r="S16" s="318"/>
      <c r="T16" s="318">
        <f t="shared" ref="T16:T37" si="44">U16+X16</f>
        <v>5986</v>
      </c>
      <c r="U16" s="318">
        <f t="shared" ref="U16:U37" si="45">V16+W16</f>
        <v>3400</v>
      </c>
      <c r="V16" s="318">
        <f>5355-1955</f>
        <v>3400</v>
      </c>
      <c r="W16" s="318"/>
      <c r="X16" s="318">
        <f t="shared" ref="X16:X37" si="46">Y16+Z16</f>
        <v>2586</v>
      </c>
      <c r="Y16" s="318">
        <f>2486+100</f>
        <v>2586</v>
      </c>
      <c r="Z16" s="318"/>
      <c r="AA16" s="318">
        <f t="shared" si="26"/>
        <v>7941.0500190000002</v>
      </c>
      <c r="AB16" s="318">
        <f t="shared" ref="AB16:AB51" si="47">AE16+AL16+AS16</f>
        <v>6543.4830000000002</v>
      </c>
      <c r="AC16" s="318">
        <f t="shared" ref="AC16:AC51" si="48">AH16+AO16+AV16</f>
        <v>1397.5670190000001</v>
      </c>
      <c r="AD16" s="318">
        <f t="shared" ref="AD16:AD37" si="49">AE16+AH16</f>
        <v>0</v>
      </c>
      <c r="AE16" s="318">
        <f t="shared" ref="AE16:AE37" si="50">AF16+AG16</f>
        <v>0</v>
      </c>
      <c r="AF16" s="318"/>
      <c r="AG16" s="318"/>
      <c r="AH16" s="318">
        <f t="shared" ref="AH16:AH37" si="51">AI16+AJ16</f>
        <v>0</v>
      </c>
      <c r="AI16" s="318"/>
      <c r="AJ16" s="318"/>
      <c r="AK16" s="318">
        <f t="shared" ref="AK16:AK37" si="52">AL16+AO16</f>
        <v>0</v>
      </c>
      <c r="AL16" s="318">
        <f t="shared" ref="AL16:AL37" si="53">AM16+AN16</f>
        <v>0</v>
      </c>
      <c r="AM16" s="318"/>
      <c r="AN16" s="318"/>
      <c r="AO16" s="318">
        <f t="shared" ref="AO16:AO37" si="54">AP16+AQ16</f>
        <v>0</v>
      </c>
      <c r="AP16" s="318"/>
      <c r="AQ16" s="318"/>
      <c r="AR16" s="318">
        <f t="shared" si="33"/>
        <v>7941.0500190000002</v>
      </c>
      <c r="AS16" s="318">
        <f t="shared" si="34"/>
        <v>6543.4830000000002</v>
      </c>
      <c r="AT16" s="318">
        <v>6543.4830000000002</v>
      </c>
      <c r="AU16" s="318"/>
      <c r="AV16" s="318">
        <f t="shared" si="35"/>
        <v>1397.5670190000001</v>
      </c>
      <c r="AW16" s="318">
        <v>1397.5670190000001</v>
      </c>
      <c r="AX16" s="318"/>
      <c r="AY16" s="319">
        <f t="shared" ref="AY16:AY51" si="55">AA16/C16</f>
        <v>1.3266037452388908</v>
      </c>
      <c r="AZ16" s="319">
        <f t="shared" ref="AZ16:AZ51" si="56">AB16/D16</f>
        <v>1.9245538235294117</v>
      </c>
      <c r="BA16" s="319">
        <f t="shared" ref="BA16:BA51" si="57">AC16/E16</f>
        <v>0.54043581554524367</v>
      </c>
      <c r="BB16" s="319"/>
      <c r="BC16" s="319"/>
      <c r="BD16" s="319"/>
      <c r="BE16" s="319"/>
      <c r="BF16" s="319"/>
      <c r="BG16" s="319"/>
      <c r="BH16" s="319"/>
      <c r="BI16" s="319"/>
      <c r="BJ16" s="319"/>
      <c r="BK16" s="319"/>
      <c r="BL16" s="319"/>
      <c r="BM16" s="319"/>
      <c r="BN16" s="319"/>
      <c r="BO16" s="319"/>
      <c r="BP16" s="319">
        <f t="shared" si="17"/>
        <v>1.3266037452388908</v>
      </c>
      <c r="BQ16" s="319">
        <f t="shared" si="18"/>
        <v>1.9245538235294117</v>
      </c>
      <c r="BR16" s="319">
        <f t="shared" si="19"/>
        <v>1.9245538235294117</v>
      </c>
      <c r="BS16" s="319"/>
      <c r="BT16" s="319">
        <f t="shared" si="20"/>
        <v>0.54043581554524367</v>
      </c>
      <c r="BU16" s="319">
        <f t="shared" si="21"/>
        <v>0.54043581554524367</v>
      </c>
      <c r="BV16" s="320"/>
    </row>
    <row r="17" spans="1:74" ht="36" customHeight="1">
      <c r="A17" s="316" t="s">
        <v>27</v>
      </c>
      <c r="B17" s="317" t="s">
        <v>73</v>
      </c>
      <c r="C17" s="318">
        <f t="shared" ref="C17:C18" si="58">D17+E17</f>
        <v>5165.1000000000004</v>
      </c>
      <c r="D17" s="318">
        <f t="shared" si="36"/>
        <v>0</v>
      </c>
      <c r="E17" s="318">
        <f t="shared" si="37"/>
        <v>5165.1000000000004</v>
      </c>
      <c r="F17" s="318">
        <f t="shared" si="38"/>
        <v>2640.1</v>
      </c>
      <c r="G17" s="318">
        <f t="shared" si="39"/>
        <v>0</v>
      </c>
      <c r="H17" s="318"/>
      <c r="I17" s="318"/>
      <c r="J17" s="318">
        <f t="shared" si="40"/>
        <v>2640.1</v>
      </c>
      <c r="K17" s="318">
        <f>2400+240.1</f>
        <v>2640.1</v>
      </c>
      <c r="L17" s="318"/>
      <c r="M17" s="318">
        <f t="shared" si="41"/>
        <v>1934</v>
      </c>
      <c r="N17" s="318">
        <f t="shared" si="42"/>
        <v>0</v>
      </c>
      <c r="O17" s="318"/>
      <c r="P17" s="318"/>
      <c r="Q17" s="318">
        <f t="shared" si="43"/>
        <v>1934</v>
      </c>
      <c r="R17" s="318">
        <f>1050+756+64+64</f>
        <v>1934</v>
      </c>
      <c r="S17" s="318"/>
      <c r="T17" s="318">
        <f t="shared" si="44"/>
        <v>591</v>
      </c>
      <c r="U17" s="318">
        <f t="shared" si="45"/>
        <v>0</v>
      </c>
      <c r="V17" s="318"/>
      <c r="W17" s="318"/>
      <c r="X17" s="318">
        <f t="shared" si="46"/>
        <v>591</v>
      </c>
      <c r="Y17" s="318">
        <f>568+23</f>
        <v>591</v>
      </c>
      <c r="Z17" s="318"/>
      <c r="AA17" s="318">
        <f t="shared" ref="AA17:AA18" si="59">AB17+AC17</f>
        <v>970.39499999999998</v>
      </c>
      <c r="AB17" s="318">
        <f t="shared" si="47"/>
        <v>0</v>
      </c>
      <c r="AC17" s="318">
        <f t="shared" si="48"/>
        <v>970.39499999999998</v>
      </c>
      <c r="AD17" s="318">
        <f t="shared" si="49"/>
        <v>270.37</v>
      </c>
      <c r="AE17" s="318">
        <f t="shared" si="50"/>
        <v>0</v>
      </c>
      <c r="AF17" s="318"/>
      <c r="AG17" s="318"/>
      <c r="AH17" s="318">
        <f t="shared" si="51"/>
        <v>270.37</v>
      </c>
      <c r="AI17" s="318">
        <v>270.37</v>
      </c>
      <c r="AJ17" s="318"/>
      <c r="AK17" s="318">
        <f t="shared" si="52"/>
        <v>292.03500000000003</v>
      </c>
      <c r="AL17" s="318">
        <f t="shared" si="53"/>
        <v>0</v>
      </c>
      <c r="AM17" s="318"/>
      <c r="AN17" s="318"/>
      <c r="AO17" s="318">
        <f t="shared" si="54"/>
        <v>292.03500000000003</v>
      </c>
      <c r="AP17" s="318">
        <v>292.03500000000003</v>
      </c>
      <c r="AQ17" s="318"/>
      <c r="AR17" s="318">
        <f t="shared" si="33"/>
        <v>407.99</v>
      </c>
      <c r="AS17" s="318">
        <f t="shared" si="34"/>
        <v>0</v>
      </c>
      <c r="AT17" s="318"/>
      <c r="AU17" s="318"/>
      <c r="AV17" s="318">
        <f t="shared" si="35"/>
        <v>407.99</v>
      </c>
      <c r="AW17" s="318">
        <v>407.99</v>
      </c>
      <c r="AX17" s="318"/>
      <c r="AY17" s="319">
        <f t="shared" si="55"/>
        <v>0.18787535575303477</v>
      </c>
      <c r="AZ17" s="319"/>
      <c r="BA17" s="319">
        <f t="shared" si="57"/>
        <v>0.18787535575303477</v>
      </c>
      <c r="BB17" s="319">
        <f t="shared" ref="BB17:BB51" si="60">AD17/F17</f>
        <v>0.10240899965910383</v>
      </c>
      <c r="BC17" s="319"/>
      <c r="BD17" s="319"/>
      <c r="BE17" s="319"/>
      <c r="BF17" s="319">
        <f t="shared" ref="BF17" si="61">AH17/J17</f>
        <v>0.10240899965910383</v>
      </c>
      <c r="BG17" s="319">
        <f t="shared" ref="BG17" si="62">AI17/K17</f>
        <v>0.10240899965910383</v>
      </c>
      <c r="BH17" s="319"/>
      <c r="BI17" s="319">
        <f t="shared" ref="BI17:BI51" si="63">AK17/M17</f>
        <v>0.15100051706308171</v>
      </c>
      <c r="BJ17" s="319"/>
      <c r="BK17" s="319"/>
      <c r="BL17" s="319"/>
      <c r="BM17" s="319">
        <f t="shared" si="15"/>
        <v>0.15100051706308171</v>
      </c>
      <c r="BN17" s="319">
        <f t="shared" si="16"/>
        <v>0.15100051706308171</v>
      </c>
      <c r="BO17" s="319"/>
      <c r="BP17" s="319">
        <f t="shared" ref="BP17:BP38" si="64">AR17/T17</f>
        <v>0.69033840947546532</v>
      </c>
      <c r="BQ17" s="319"/>
      <c r="BR17" s="319"/>
      <c r="BS17" s="319"/>
      <c r="BT17" s="319">
        <f t="shared" ref="BT17:BT51" si="65">AV17/X17</f>
        <v>0.69033840947546532</v>
      </c>
      <c r="BU17" s="319">
        <f t="shared" ref="BU17:BU51" si="66">AW17/Y17</f>
        <v>0.69033840947546532</v>
      </c>
      <c r="BV17" s="320"/>
    </row>
    <row r="18" spans="1:74" ht="36" customHeight="1">
      <c r="A18" s="316" t="s">
        <v>28</v>
      </c>
      <c r="B18" s="317" t="s">
        <v>79</v>
      </c>
      <c r="C18" s="318">
        <f t="shared" si="58"/>
        <v>1199.4000000000001</v>
      </c>
      <c r="D18" s="318">
        <f t="shared" si="36"/>
        <v>0</v>
      </c>
      <c r="E18" s="318">
        <f t="shared" si="37"/>
        <v>1199.4000000000001</v>
      </c>
      <c r="F18" s="318">
        <f t="shared" si="38"/>
        <v>754.4</v>
      </c>
      <c r="G18" s="318">
        <f t="shared" si="39"/>
        <v>0</v>
      </c>
      <c r="H18" s="318"/>
      <c r="I18" s="318"/>
      <c r="J18" s="318">
        <f t="shared" si="40"/>
        <v>754.4</v>
      </c>
      <c r="K18" s="318">
        <f>686+68.4</f>
        <v>754.4</v>
      </c>
      <c r="L18" s="318"/>
      <c r="M18" s="318">
        <f t="shared" si="41"/>
        <v>0</v>
      </c>
      <c r="N18" s="318">
        <f t="shared" si="42"/>
        <v>0</v>
      </c>
      <c r="O18" s="318"/>
      <c r="P18" s="318"/>
      <c r="Q18" s="318">
        <f t="shared" si="43"/>
        <v>0</v>
      </c>
      <c r="R18" s="318"/>
      <c r="S18" s="318"/>
      <c r="T18" s="318">
        <f t="shared" si="44"/>
        <v>445</v>
      </c>
      <c r="U18" s="318">
        <f t="shared" si="45"/>
        <v>0</v>
      </c>
      <c r="V18" s="318"/>
      <c r="W18" s="318"/>
      <c r="X18" s="318">
        <f t="shared" si="46"/>
        <v>445</v>
      </c>
      <c r="Y18" s="318">
        <f>428+17</f>
        <v>445</v>
      </c>
      <c r="Z18" s="318"/>
      <c r="AA18" s="318">
        <f t="shared" si="59"/>
        <v>527.09742000000006</v>
      </c>
      <c r="AB18" s="318">
        <f t="shared" si="47"/>
        <v>0</v>
      </c>
      <c r="AC18" s="318">
        <f t="shared" si="48"/>
        <v>527.09742000000006</v>
      </c>
      <c r="AD18" s="318">
        <f>AE18+AH18</f>
        <v>281.98932000000002</v>
      </c>
      <c r="AE18" s="318">
        <f t="shared" si="50"/>
        <v>0</v>
      </c>
      <c r="AF18" s="318"/>
      <c r="AG18" s="318"/>
      <c r="AH18" s="318">
        <f t="shared" si="51"/>
        <v>281.98932000000002</v>
      </c>
      <c r="AI18" s="318">
        <v>281.98932000000002</v>
      </c>
      <c r="AJ18" s="318"/>
      <c r="AK18" s="318">
        <f t="shared" si="52"/>
        <v>0</v>
      </c>
      <c r="AL18" s="318">
        <f t="shared" si="53"/>
        <v>0</v>
      </c>
      <c r="AM18" s="318"/>
      <c r="AN18" s="318"/>
      <c r="AO18" s="318">
        <f t="shared" si="54"/>
        <v>0</v>
      </c>
      <c r="AP18" s="318"/>
      <c r="AQ18" s="318"/>
      <c r="AR18" s="318">
        <f t="shared" si="33"/>
        <v>245.10810000000001</v>
      </c>
      <c r="AS18" s="318">
        <f t="shared" si="34"/>
        <v>0</v>
      </c>
      <c r="AT18" s="318"/>
      <c r="AU18" s="318"/>
      <c r="AV18" s="318">
        <f t="shared" si="35"/>
        <v>245.10810000000001</v>
      </c>
      <c r="AW18" s="318">
        <v>245.10810000000001</v>
      </c>
      <c r="AX18" s="318"/>
      <c r="AY18" s="319">
        <f t="shared" si="55"/>
        <v>0.43946758379189599</v>
      </c>
      <c r="AZ18" s="319"/>
      <c r="BA18" s="319">
        <f t="shared" si="57"/>
        <v>0.43946758379189599</v>
      </c>
      <c r="BB18" s="319">
        <f t="shared" si="60"/>
        <v>0.37379284199363738</v>
      </c>
      <c r="BC18" s="319"/>
      <c r="BD18" s="319"/>
      <c r="BE18" s="319"/>
      <c r="BF18" s="319">
        <f t="shared" ref="BF18:BF51" si="67">AH18/J18</f>
        <v>0.37379284199363738</v>
      </c>
      <c r="BG18" s="319">
        <f t="shared" ref="BG18:BG51" si="68">AI18/K18</f>
        <v>0.37379284199363738</v>
      </c>
      <c r="BH18" s="319"/>
      <c r="BI18" s="319"/>
      <c r="BJ18" s="319"/>
      <c r="BK18" s="319"/>
      <c r="BL18" s="319"/>
      <c r="BM18" s="319"/>
      <c r="BN18" s="319"/>
      <c r="BO18" s="319"/>
      <c r="BP18" s="319">
        <f t="shared" si="64"/>
        <v>0.55080471910112361</v>
      </c>
      <c r="BQ18" s="319"/>
      <c r="BR18" s="319"/>
      <c r="BS18" s="319"/>
      <c r="BT18" s="319">
        <f t="shared" si="65"/>
        <v>0.55080471910112361</v>
      </c>
      <c r="BU18" s="319">
        <f t="shared" si="66"/>
        <v>0.55080471910112361</v>
      </c>
      <c r="BV18" s="320"/>
    </row>
    <row r="19" spans="1:74" ht="20.100000000000001" customHeight="1">
      <c r="A19" s="316" t="s">
        <v>29</v>
      </c>
      <c r="B19" s="317" t="s">
        <v>77</v>
      </c>
      <c r="C19" s="318">
        <f t="shared" ref="C19" si="69">D19+E19</f>
        <v>297</v>
      </c>
      <c r="D19" s="318">
        <f t="shared" ref="D19" si="70">G19+N19+U19</f>
        <v>0</v>
      </c>
      <c r="E19" s="318">
        <f t="shared" ref="E19" si="71">J19+Q19+X19</f>
        <v>297</v>
      </c>
      <c r="F19" s="318">
        <f t="shared" ref="F19:F23" si="72">G19+J19</f>
        <v>0</v>
      </c>
      <c r="G19" s="318">
        <f t="shared" ref="G19:G23" si="73">H19+I19</f>
        <v>0</v>
      </c>
      <c r="H19" s="318"/>
      <c r="I19" s="318"/>
      <c r="J19" s="318">
        <f t="shared" si="40"/>
        <v>0</v>
      </c>
      <c r="K19" s="318"/>
      <c r="L19" s="318"/>
      <c r="M19" s="318">
        <f t="shared" ref="M19:M23" si="74">N19+Q19</f>
        <v>0</v>
      </c>
      <c r="N19" s="318">
        <f t="shared" ref="N19:N23" si="75">O19+P19</f>
        <v>0</v>
      </c>
      <c r="O19" s="318"/>
      <c r="P19" s="318"/>
      <c r="Q19" s="318">
        <f t="shared" si="43"/>
        <v>0</v>
      </c>
      <c r="R19" s="318"/>
      <c r="S19" s="318"/>
      <c r="T19" s="318">
        <f t="shared" si="44"/>
        <v>297</v>
      </c>
      <c r="U19" s="318"/>
      <c r="V19" s="318"/>
      <c r="W19" s="318"/>
      <c r="X19" s="318">
        <f t="shared" si="46"/>
        <v>297</v>
      </c>
      <c r="Y19" s="318">
        <f>285+12</f>
        <v>297</v>
      </c>
      <c r="Z19" s="318"/>
      <c r="AA19" s="318">
        <f t="shared" ref="AA19:AA23" si="76">AB19+AC19</f>
        <v>21.499099999999999</v>
      </c>
      <c r="AB19" s="318">
        <f t="shared" si="47"/>
        <v>0</v>
      </c>
      <c r="AC19" s="318">
        <f t="shared" si="48"/>
        <v>21.499099999999999</v>
      </c>
      <c r="AD19" s="318">
        <f t="shared" ref="AD19:AD23" si="77">AE19+AH19</f>
        <v>0</v>
      </c>
      <c r="AE19" s="318">
        <f t="shared" ref="AE19:AE23" si="78">AF19+AG19</f>
        <v>0</v>
      </c>
      <c r="AF19" s="318"/>
      <c r="AG19" s="318"/>
      <c r="AH19" s="318">
        <f t="shared" si="51"/>
        <v>0</v>
      </c>
      <c r="AI19" s="318"/>
      <c r="AJ19" s="318"/>
      <c r="AK19" s="318">
        <f t="shared" ref="AK19:AK23" si="79">AL19+AO19</f>
        <v>0</v>
      </c>
      <c r="AL19" s="318">
        <f t="shared" ref="AL19:AL23" si="80">AM19+AN19</f>
        <v>0</v>
      </c>
      <c r="AM19" s="318"/>
      <c r="AN19" s="318"/>
      <c r="AO19" s="318">
        <f t="shared" si="54"/>
        <v>0</v>
      </c>
      <c r="AP19" s="318"/>
      <c r="AQ19" s="318"/>
      <c r="AR19" s="318">
        <f t="shared" si="33"/>
        <v>21.499099999999999</v>
      </c>
      <c r="AS19" s="318">
        <f t="shared" si="34"/>
        <v>0</v>
      </c>
      <c r="AT19" s="318"/>
      <c r="AU19" s="318"/>
      <c r="AV19" s="318">
        <f t="shared" si="35"/>
        <v>21.499099999999999</v>
      </c>
      <c r="AW19" s="318">
        <v>21.499099999999999</v>
      </c>
      <c r="AX19" s="318"/>
      <c r="AY19" s="319">
        <f t="shared" si="55"/>
        <v>7.2387542087542084E-2</v>
      </c>
      <c r="AZ19" s="319"/>
      <c r="BA19" s="319">
        <f t="shared" si="57"/>
        <v>7.2387542087542084E-2</v>
      </c>
      <c r="BB19" s="319"/>
      <c r="BC19" s="319"/>
      <c r="BD19" s="319"/>
      <c r="BE19" s="319"/>
      <c r="BF19" s="319"/>
      <c r="BG19" s="319"/>
      <c r="BH19" s="319"/>
      <c r="BI19" s="319"/>
      <c r="BJ19" s="319"/>
      <c r="BK19" s="319"/>
      <c r="BL19" s="319"/>
      <c r="BM19" s="319"/>
      <c r="BN19" s="319"/>
      <c r="BO19" s="319"/>
      <c r="BP19" s="319">
        <f t="shared" si="64"/>
        <v>7.2387542087542084E-2</v>
      </c>
      <c r="BQ19" s="319"/>
      <c r="BR19" s="319"/>
      <c r="BS19" s="319"/>
      <c r="BT19" s="319">
        <f t="shared" si="65"/>
        <v>7.2387542087542084E-2</v>
      </c>
      <c r="BU19" s="319">
        <f t="shared" si="66"/>
        <v>7.2387542087542084E-2</v>
      </c>
      <c r="BV19" s="320"/>
    </row>
    <row r="20" spans="1:74" ht="20.100000000000001" customHeight="1">
      <c r="A20" s="316" t="s">
        <v>30</v>
      </c>
      <c r="B20" s="317" t="s">
        <v>480</v>
      </c>
      <c r="C20" s="318">
        <f t="shared" ref="C20:C23" si="81">D20+E20</f>
        <v>748</v>
      </c>
      <c r="D20" s="318">
        <f t="shared" ref="D20:D23" si="82">G20+N20+U20</f>
        <v>0</v>
      </c>
      <c r="E20" s="318">
        <f t="shared" ref="E20:E23" si="83">J20+Q20+X20</f>
        <v>748</v>
      </c>
      <c r="F20" s="318">
        <f t="shared" si="72"/>
        <v>0</v>
      </c>
      <c r="G20" s="318">
        <f t="shared" si="73"/>
        <v>0</v>
      </c>
      <c r="H20" s="318"/>
      <c r="I20" s="318"/>
      <c r="J20" s="318">
        <f t="shared" si="40"/>
        <v>0</v>
      </c>
      <c r="K20" s="318"/>
      <c r="L20" s="318"/>
      <c r="M20" s="318">
        <f t="shared" si="74"/>
        <v>0</v>
      </c>
      <c r="N20" s="318">
        <f t="shared" si="75"/>
        <v>0</v>
      </c>
      <c r="O20" s="318"/>
      <c r="P20" s="318"/>
      <c r="Q20" s="318">
        <f t="shared" si="43"/>
        <v>0</v>
      </c>
      <c r="R20" s="318"/>
      <c r="S20" s="318"/>
      <c r="T20" s="318">
        <f t="shared" si="44"/>
        <v>748</v>
      </c>
      <c r="U20" s="318"/>
      <c r="V20" s="318"/>
      <c r="W20" s="318"/>
      <c r="X20" s="318">
        <f t="shared" si="46"/>
        <v>748</v>
      </c>
      <c r="Y20" s="318">
        <f>719+29</f>
        <v>748</v>
      </c>
      <c r="Z20" s="318"/>
      <c r="AA20" s="318">
        <f t="shared" si="76"/>
        <v>1092.6300000000001</v>
      </c>
      <c r="AB20" s="318">
        <f t="shared" si="47"/>
        <v>0</v>
      </c>
      <c r="AC20" s="318">
        <f t="shared" si="48"/>
        <v>1092.6300000000001</v>
      </c>
      <c r="AD20" s="318">
        <f t="shared" si="77"/>
        <v>0</v>
      </c>
      <c r="AE20" s="318">
        <f t="shared" si="78"/>
        <v>0</v>
      </c>
      <c r="AF20" s="318"/>
      <c r="AG20" s="318"/>
      <c r="AH20" s="318">
        <f t="shared" si="51"/>
        <v>0</v>
      </c>
      <c r="AI20" s="318"/>
      <c r="AJ20" s="318"/>
      <c r="AK20" s="318">
        <f t="shared" si="79"/>
        <v>0</v>
      </c>
      <c r="AL20" s="318">
        <f t="shared" si="80"/>
        <v>0</v>
      </c>
      <c r="AM20" s="318"/>
      <c r="AN20" s="318"/>
      <c r="AO20" s="318">
        <f t="shared" si="54"/>
        <v>0</v>
      </c>
      <c r="AP20" s="318"/>
      <c r="AQ20" s="318"/>
      <c r="AR20" s="318">
        <f t="shared" si="33"/>
        <v>1092.6300000000001</v>
      </c>
      <c r="AS20" s="318">
        <f t="shared" si="34"/>
        <v>0</v>
      </c>
      <c r="AT20" s="318"/>
      <c r="AU20" s="318"/>
      <c r="AV20" s="318">
        <f t="shared" si="35"/>
        <v>1092.6300000000001</v>
      </c>
      <c r="AW20" s="318">
        <v>1092.6300000000001</v>
      </c>
      <c r="AX20" s="318"/>
      <c r="AY20" s="319">
        <f t="shared" si="55"/>
        <v>1.4607352941176472</v>
      </c>
      <c r="AZ20" s="319"/>
      <c r="BA20" s="319">
        <f t="shared" si="57"/>
        <v>1.4607352941176472</v>
      </c>
      <c r="BB20" s="319"/>
      <c r="BC20" s="319"/>
      <c r="BD20" s="319"/>
      <c r="BE20" s="319"/>
      <c r="BF20" s="319"/>
      <c r="BG20" s="319"/>
      <c r="BH20" s="319"/>
      <c r="BI20" s="319"/>
      <c r="BJ20" s="319"/>
      <c r="BK20" s="319"/>
      <c r="BL20" s="319"/>
      <c r="BM20" s="319"/>
      <c r="BN20" s="319"/>
      <c r="BO20" s="319"/>
      <c r="BP20" s="319">
        <f t="shared" si="64"/>
        <v>1.4607352941176472</v>
      </c>
      <c r="BQ20" s="319"/>
      <c r="BR20" s="319"/>
      <c r="BS20" s="319"/>
      <c r="BT20" s="319">
        <f t="shared" si="65"/>
        <v>1.4607352941176472</v>
      </c>
      <c r="BU20" s="319">
        <f t="shared" si="66"/>
        <v>1.4607352941176472</v>
      </c>
      <c r="BV20" s="320"/>
    </row>
    <row r="21" spans="1:74" ht="36" customHeight="1">
      <c r="A21" s="316" t="s">
        <v>31</v>
      </c>
      <c r="B21" s="317" t="s">
        <v>479</v>
      </c>
      <c r="C21" s="318">
        <f t="shared" si="81"/>
        <v>2804.8</v>
      </c>
      <c r="D21" s="318">
        <f t="shared" si="82"/>
        <v>0</v>
      </c>
      <c r="E21" s="318">
        <f t="shared" si="83"/>
        <v>2804.8</v>
      </c>
      <c r="F21" s="318">
        <f t="shared" si="72"/>
        <v>1526.8</v>
      </c>
      <c r="G21" s="318">
        <f t="shared" si="73"/>
        <v>0</v>
      </c>
      <c r="H21" s="318"/>
      <c r="I21" s="318"/>
      <c r="J21" s="318">
        <f t="shared" si="40"/>
        <v>1526.8</v>
      </c>
      <c r="K21" s="318">
        <f>1388+138.8</f>
        <v>1526.8</v>
      </c>
      <c r="L21" s="318"/>
      <c r="M21" s="318">
        <f t="shared" si="74"/>
        <v>0</v>
      </c>
      <c r="N21" s="318">
        <f t="shared" si="75"/>
        <v>0</v>
      </c>
      <c r="O21" s="318"/>
      <c r="P21" s="318"/>
      <c r="Q21" s="318">
        <f t="shared" si="43"/>
        <v>0</v>
      </c>
      <c r="R21" s="318"/>
      <c r="S21" s="318"/>
      <c r="T21" s="318">
        <f t="shared" si="44"/>
        <v>1278</v>
      </c>
      <c r="U21" s="318">
        <f t="shared" ref="U21:U23" si="84">V21+W21</f>
        <v>0</v>
      </c>
      <c r="V21" s="318"/>
      <c r="W21" s="318"/>
      <c r="X21" s="318">
        <f t="shared" si="46"/>
        <v>1278</v>
      </c>
      <c r="Y21" s="318">
        <f>1228+50</f>
        <v>1278</v>
      </c>
      <c r="Z21" s="318"/>
      <c r="AA21" s="318">
        <f t="shared" si="76"/>
        <v>397</v>
      </c>
      <c r="AB21" s="318">
        <f t="shared" ref="AB21:AB23" si="85">AE21+AL21+AS21</f>
        <v>0</v>
      </c>
      <c r="AC21" s="318">
        <f t="shared" ref="AC21:AC23" si="86">AH21+AO21+AV21</f>
        <v>397</v>
      </c>
      <c r="AD21" s="318">
        <f t="shared" si="77"/>
        <v>217</v>
      </c>
      <c r="AE21" s="318">
        <f t="shared" si="78"/>
        <v>0</v>
      </c>
      <c r="AF21" s="318"/>
      <c r="AG21" s="318"/>
      <c r="AH21" s="318">
        <f t="shared" si="51"/>
        <v>217</v>
      </c>
      <c r="AI21" s="318">
        <v>217</v>
      </c>
      <c r="AJ21" s="318"/>
      <c r="AK21" s="318">
        <f t="shared" si="79"/>
        <v>0</v>
      </c>
      <c r="AL21" s="318">
        <f t="shared" si="80"/>
        <v>0</v>
      </c>
      <c r="AM21" s="318"/>
      <c r="AN21" s="318"/>
      <c r="AO21" s="318">
        <f t="shared" si="54"/>
        <v>0</v>
      </c>
      <c r="AP21" s="318"/>
      <c r="AQ21" s="318"/>
      <c r="AR21" s="318">
        <f t="shared" si="33"/>
        <v>180</v>
      </c>
      <c r="AS21" s="318">
        <f t="shared" si="34"/>
        <v>0</v>
      </c>
      <c r="AT21" s="318"/>
      <c r="AU21" s="318"/>
      <c r="AV21" s="318">
        <f t="shared" si="35"/>
        <v>180</v>
      </c>
      <c r="AW21" s="318">
        <v>180</v>
      </c>
      <c r="AX21" s="318"/>
      <c r="AY21" s="319">
        <f t="shared" si="55"/>
        <v>0.14154306902452937</v>
      </c>
      <c r="AZ21" s="319"/>
      <c r="BA21" s="319">
        <f t="shared" si="57"/>
        <v>0.14154306902452937</v>
      </c>
      <c r="BB21" s="319">
        <f t="shared" ref="BB21" si="87">AD21/F21</f>
        <v>0.14212732512444329</v>
      </c>
      <c r="BC21" s="319"/>
      <c r="BD21" s="319"/>
      <c r="BE21" s="319"/>
      <c r="BF21" s="319">
        <f t="shared" si="67"/>
        <v>0.14212732512444329</v>
      </c>
      <c r="BG21" s="319">
        <f t="shared" si="68"/>
        <v>0.14212732512444329</v>
      </c>
      <c r="BH21" s="319"/>
      <c r="BI21" s="319"/>
      <c r="BJ21" s="319"/>
      <c r="BK21" s="319"/>
      <c r="BL21" s="319"/>
      <c r="BM21" s="319"/>
      <c r="BN21" s="319"/>
      <c r="BO21" s="319"/>
      <c r="BP21" s="319">
        <f t="shared" si="64"/>
        <v>0.14084507042253522</v>
      </c>
      <c r="BQ21" s="319"/>
      <c r="BR21" s="319"/>
      <c r="BS21" s="319"/>
      <c r="BT21" s="319">
        <f t="shared" si="65"/>
        <v>0.14084507042253522</v>
      </c>
      <c r="BU21" s="319">
        <f t="shared" si="66"/>
        <v>0.14084507042253522</v>
      </c>
      <c r="BV21" s="320"/>
    </row>
    <row r="22" spans="1:74" ht="36" customHeight="1">
      <c r="A22" s="316" t="s">
        <v>32</v>
      </c>
      <c r="B22" s="317" t="s">
        <v>531</v>
      </c>
      <c r="C22" s="318">
        <f t="shared" si="81"/>
        <v>176</v>
      </c>
      <c r="D22" s="318">
        <f t="shared" si="82"/>
        <v>0</v>
      </c>
      <c r="E22" s="318">
        <f t="shared" si="83"/>
        <v>176</v>
      </c>
      <c r="F22" s="318">
        <f t="shared" si="72"/>
        <v>0</v>
      </c>
      <c r="G22" s="318">
        <f t="shared" si="73"/>
        <v>0</v>
      </c>
      <c r="H22" s="318"/>
      <c r="I22" s="318"/>
      <c r="J22" s="318">
        <f t="shared" si="40"/>
        <v>0</v>
      </c>
      <c r="K22" s="318"/>
      <c r="L22" s="318"/>
      <c r="M22" s="318">
        <f t="shared" si="74"/>
        <v>86</v>
      </c>
      <c r="N22" s="318">
        <f t="shared" si="75"/>
        <v>0</v>
      </c>
      <c r="O22" s="318"/>
      <c r="P22" s="318"/>
      <c r="Q22" s="318">
        <f t="shared" si="43"/>
        <v>86</v>
      </c>
      <c r="R22" s="318">
        <f>50+36</f>
        <v>86</v>
      </c>
      <c r="S22" s="318"/>
      <c r="T22" s="318">
        <f t="shared" si="44"/>
        <v>90</v>
      </c>
      <c r="U22" s="318">
        <f t="shared" si="84"/>
        <v>0</v>
      </c>
      <c r="V22" s="318"/>
      <c r="W22" s="318"/>
      <c r="X22" s="318">
        <f t="shared" si="46"/>
        <v>90</v>
      </c>
      <c r="Y22" s="318">
        <f>87+3</f>
        <v>90</v>
      </c>
      <c r="Z22" s="318"/>
      <c r="AA22" s="318">
        <f t="shared" si="76"/>
        <v>174.48187999999999</v>
      </c>
      <c r="AB22" s="318">
        <f t="shared" si="85"/>
        <v>0</v>
      </c>
      <c r="AC22" s="318">
        <f t="shared" si="86"/>
        <v>174.48187999999999</v>
      </c>
      <c r="AD22" s="318">
        <f t="shared" si="77"/>
        <v>0</v>
      </c>
      <c r="AE22" s="318">
        <f t="shared" si="78"/>
        <v>0</v>
      </c>
      <c r="AF22" s="318"/>
      <c r="AG22" s="318"/>
      <c r="AH22" s="318">
        <f t="shared" si="51"/>
        <v>0</v>
      </c>
      <c r="AI22" s="318"/>
      <c r="AJ22" s="318"/>
      <c r="AK22" s="318">
        <f t="shared" si="79"/>
        <v>84.481880000000004</v>
      </c>
      <c r="AL22" s="318">
        <f t="shared" si="80"/>
        <v>0</v>
      </c>
      <c r="AM22" s="318"/>
      <c r="AN22" s="318"/>
      <c r="AO22" s="318">
        <f t="shared" si="54"/>
        <v>84.481880000000004</v>
      </c>
      <c r="AP22" s="318">
        <v>84.481880000000004</v>
      </c>
      <c r="AQ22" s="318"/>
      <c r="AR22" s="318">
        <f t="shared" si="33"/>
        <v>90</v>
      </c>
      <c r="AS22" s="318">
        <f t="shared" si="34"/>
        <v>0</v>
      </c>
      <c r="AT22" s="318"/>
      <c r="AU22" s="318"/>
      <c r="AV22" s="318">
        <f t="shared" si="35"/>
        <v>90</v>
      </c>
      <c r="AW22" s="318">
        <v>90</v>
      </c>
      <c r="AX22" s="318"/>
      <c r="AY22" s="319">
        <f t="shared" si="55"/>
        <v>0.99137431818181809</v>
      </c>
      <c r="AZ22" s="319"/>
      <c r="BA22" s="319">
        <f t="shared" si="57"/>
        <v>0.99137431818181809</v>
      </c>
      <c r="BB22" s="319"/>
      <c r="BC22" s="319"/>
      <c r="BD22" s="319"/>
      <c r="BE22" s="319"/>
      <c r="BF22" s="319"/>
      <c r="BG22" s="319"/>
      <c r="BH22" s="319"/>
      <c r="BI22" s="319"/>
      <c r="BJ22" s="319"/>
      <c r="BK22" s="319"/>
      <c r="BL22" s="319"/>
      <c r="BM22" s="319">
        <f t="shared" ref="BM22:BM51" si="88">AO22/Q22</f>
        <v>0.98234744186046519</v>
      </c>
      <c r="BN22" s="319">
        <f t="shared" ref="BN22:BN51" si="89">AP22/R22</f>
        <v>0.98234744186046519</v>
      </c>
      <c r="BO22" s="319"/>
      <c r="BP22" s="319">
        <f t="shared" si="64"/>
        <v>1</v>
      </c>
      <c r="BQ22" s="319"/>
      <c r="BR22" s="319"/>
      <c r="BS22" s="319"/>
      <c r="BT22" s="319">
        <f t="shared" si="65"/>
        <v>1</v>
      </c>
      <c r="BU22" s="319">
        <f t="shared" si="66"/>
        <v>1</v>
      </c>
      <c r="BV22" s="320"/>
    </row>
    <row r="23" spans="1:74" ht="36" customHeight="1">
      <c r="A23" s="316" t="s">
        <v>33</v>
      </c>
      <c r="B23" s="317" t="s">
        <v>529</v>
      </c>
      <c r="C23" s="318">
        <f t="shared" si="81"/>
        <v>688</v>
      </c>
      <c r="D23" s="318">
        <f t="shared" si="82"/>
        <v>0</v>
      </c>
      <c r="E23" s="318">
        <f t="shared" si="83"/>
        <v>688</v>
      </c>
      <c r="F23" s="318">
        <f t="shared" si="72"/>
        <v>0</v>
      </c>
      <c r="G23" s="318">
        <f t="shared" si="73"/>
        <v>0</v>
      </c>
      <c r="H23" s="318"/>
      <c r="I23" s="318"/>
      <c r="J23" s="318">
        <f t="shared" si="40"/>
        <v>0</v>
      </c>
      <c r="K23" s="318"/>
      <c r="L23" s="318"/>
      <c r="M23" s="318">
        <f t="shared" si="74"/>
        <v>688</v>
      </c>
      <c r="N23" s="318">
        <f t="shared" si="75"/>
        <v>0</v>
      </c>
      <c r="O23" s="318"/>
      <c r="P23" s="318"/>
      <c r="Q23" s="318">
        <f t="shared" si="43"/>
        <v>688</v>
      </c>
      <c r="R23" s="318">
        <f>400+288</f>
        <v>688</v>
      </c>
      <c r="S23" s="318"/>
      <c r="T23" s="318">
        <f t="shared" si="44"/>
        <v>0</v>
      </c>
      <c r="U23" s="318">
        <f t="shared" si="84"/>
        <v>0</v>
      </c>
      <c r="V23" s="318"/>
      <c r="W23" s="318"/>
      <c r="X23" s="318">
        <f t="shared" si="46"/>
        <v>0</v>
      </c>
      <c r="Y23" s="318"/>
      <c r="Z23" s="318"/>
      <c r="AA23" s="318">
        <f t="shared" si="76"/>
        <v>668.53099999999995</v>
      </c>
      <c r="AB23" s="318">
        <f t="shared" si="85"/>
        <v>0</v>
      </c>
      <c r="AC23" s="318">
        <f t="shared" si="86"/>
        <v>668.53099999999995</v>
      </c>
      <c r="AD23" s="318">
        <f t="shared" si="77"/>
        <v>0</v>
      </c>
      <c r="AE23" s="318">
        <f t="shared" si="78"/>
        <v>0</v>
      </c>
      <c r="AF23" s="318"/>
      <c r="AG23" s="318"/>
      <c r="AH23" s="318">
        <f t="shared" si="51"/>
        <v>0</v>
      </c>
      <c r="AI23" s="318"/>
      <c r="AJ23" s="318"/>
      <c r="AK23" s="318">
        <f t="shared" si="79"/>
        <v>668.53099999999995</v>
      </c>
      <c r="AL23" s="318">
        <f t="shared" si="80"/>
        <v>0</v>
      </c>
      <c r="AM23" s="318"/>
      <c r="AN23" s="318"/>
      <c r="AO23" s="318">
        <f t="shared" si="54"/>
        <v>668.53099999999995</v>
      </c>
      <c r="AP23" s="318">
        <v>668.53099999999995</v>
      </c>
      <c r="AQ23" s="318"/>
      <c r="AR23" s="318">
        <f t="shared" si="33"/>
        <v>0</v>
      </c>
      <c r="AS23" s="318">
        <f t="shared" si="34"/>
        <v>0</v>
      </c>
      <c r="AT23" s="318"/>
      <c r="AU23" s="318"/>
      <c r="AV23" s="318">
        <f t="shared" si="35"/>
        <v>0</v>
      </c>
      <c r="AW23" s="318"/>
      <c r="AX23" s="318"/>
      <c r="AY23" s="319">
        <f t="shared" si="55"/>
        <v>0.97170203488372087</v>
      </c>
      <c r="AZ23" s="319"/>
      <c r="BA23" s="319">
        <f t="shared" si="57"/>
        <v>0.97170203488372087</v>
      </c>
      <c r="BB23" s="319"/>
      <c r="BC23" s="319"/>
      <c r="BD23" s="319"/>
      <c r="BE23" s="319"/>
      <c r="BF23" s="319"/>
      <c r="BG23" s="319"/>
      <c r="BH23" s="319"/>
      <c r="BI23" s="319"/>
      <c r="BJ23" s="319"/>
      <c r="BK23" s="319"/>
      <c r="BL23" s="319"/>
      <c r="BM23" s="319">
        <f t="shared" si="88"/>
        <v>0.97170203488372087</v>
      </c>
      <c r="BN23" s="319">
        <f t="shared" si="89"/>
        <v>0.97170203488372087</v>
      </c>
      <c r="BO23" s="319"/>
      <c r="BP23" s="319"/>
      <c r="BQ23" s="319"/>
      <c r="BR23" s="319"/>
      <c r="BS23" s="319"/>
      <c r="BT23" s="319"/>
      <c r="BU23" s="319"/>
      <c r="BV23" s="320"/>
    </row>
    <row r="24" spans="1:74" ht="36" customHeight="1">
      <c r="A24" s="316" t="s">
        <v>34</v>
      </c>
      <c r="B24" s="317" t="s">
        <v>530</v>
      </c>
      <c r="C24" s="318">
        <f t="shared" ref="C24:C25" si="90">D24+E24</f>
        <v>86</v>
      </c>
      <c r="D24" s="318">
        <f t="shared" ref="D24:D25" si="91">G24+N24+U24</f>
        <v>0</v>
      </c>
      <c r="E24" s="318">
        <f t="shared" ref="E24:E25" si="92">J24+Q24+X24</f>
        <v>86</v>
      </c>
      <c r="F24" s="318">
        <f t="shared" ref="F24:F25" si="93">G24+J24</f>
        <v>0</v>
      </c>
      <c r="G24" s="318">
        <f t="shared" ref="G24:G25" si="94">H24+I24</f>
        <v>0</v>
      </c>
      <c r="H24" s="318"/>
      <c r="I24" s="318"/>
      <c r="J24" s="318">
        <f t="shared" ref="J24:J25" si="95">K24+L24</f>
        <v>0</v>
      </c>
      <c r="K24" s="318"/>
      <c r="L24" s="318"/>
      <c r="M24" s="318">
        <f t="shared" ref="M24:M25" si="96">N24+Q24</f>
        <v>86</v>
      </c>
      <c r="N24" s="318">
        <f t="shared" ref="N24:N25" si="97">O24+P24</f>
        <v>0</v>
      </c>
      <c r="O24" s="318"/>
      <c r="P24" s="318"/>
      <c r="Q24" s="318">
        <f t="shared" ref="Q24:Q25" si="98">R24+S24</f>
        <v>86</v>
      </c>
      <c r="R24" s="318">
        <f>50+36</f>
        <v>86</v>
      </c>
      <c r="S24" s="318"/>
      <c r="T24" s="318">
        <f t="shared" ref="T24:T25" si="99">U24+X24</f>
        <v>0</v>
      </c>
      <c r="U24" s="318">
        <f t="shared" ref="U24:U25" si="100">V24+W24</f>
        <v>0</v>
      </c>
      <c r="V24" s="318"/>
      <c r="W24" s="318"/>
      <c r="X24" s="318">
        <f t="shared" ref="X24:X25" si="101">Y24+Z24</f>
        <v>0</v>
      </c>
      <c r="Y24" s="318"/>
      <c r="Z24" s="318"/>
      <c r="AA24" s="318">
        <f t="shared" ref="AA24:AA25" si="102">AB24+AC24</f>
        <v>86</v>
      </c>
      <c r="AB24" s="318">
        <f t="shared" si="47"/>
        <v>0</v>
      </c>
      <c r="AC24" s="318">
        <f t="shared" si="48"/>
        <v>86</v>
      </c>
      <c r="AD24" s="318">
        <f t="shared" ref="AD24:AD25" si="103">AE24+AH24</f>
        <v>0</v>
      </c>
      <c r="AE24" s="318">
        <f t="shared" ref="AE24:AE25" si="104">AF24+AG24</f>
        <v>0</v>
      </c>
      <c r="AF24" s="318"/>
      <c r="AG24" s="318"/>
      <c r="AH24" s="318">
        <f t="shared" ref="AH24:AH25" si="105">AI24+AJ24</f>
        <v>0</v>
      </c>
      <c r="AI24" s="318"/>
      <c r="AJ24" s="318"/>
      <c r="AK24" s="318">
        <f t="shared" ref="AK24:AK25" si="106">AL24+AO24</f>
        <v>86</v>
      </c>
      <c r="AL24" s="318">
        <f t="shared" ref="AL24:AL25" si="107">AM24+AN24</f>
        <v>0</v>
      </c>
      <c r="AM24" s="318"/>
      <c r="AN24" s="318"/>
      <c r="AO24" s="318">
        <f t="shared" ref="AO24:AO25" si="108">AP24+AQ24</f>
        <v>86</v>
      </c>
      <c r="AP24" s="318">
        <v>86</v>
      </c>
      <c r="AQ24" s="318"/>
      <c r="AR24" s="318">
        <f t="shared" ref="AR24:AR25" si="109">AS24+AV24</f>
        <v>0</v>
      </c>
      <c r="AS24" s="318">
        <f t="shared" ref="AS24:AS25" si="110">AT24+AU24</f>
        <v>0</v>
      </c>
      <c r="AT24" s="318"/>
      <c r="AU24" s="318"/>
      <c r="AV24" s="318">
        <f t="shared" ref="AV24:AV25" si="111">AW24+AX24</f>
        <v>0</v>
      </c>
      <c r="AW24" s="318"/>
      <c r="AX24" s="318"/>
      <c r="AY24" s="319">
        <f t="shared" si="55"/>
        <v>1</v>
      </c>
      <c r="AZ24" s="319"/>
      <c r="BA24" s="319">
        <f t="shared" si="57"/>
        <v>1</v>
      </c>
      <c r="BB24" s="319"/>
      <c r="BC24" s="319"/>
      <c r="BD24" s="319"/>
      <c r="BE24" s="319"/>
      <c r="BF24" s="319"/>
      <c r="BG24" s="319"/>
      <c r="BH24" s="319"/>
      <c r="BI24" s="319"/>
      <c r="BJ24" s="319"/>
      <c r="BK24" s="319"/>
      <c r="BL24" s="319"/>
      <c r="BM24" s="319">
        <f t="shared" si="88"/>
        <v>1</v>
      </c>
      <c r="BN24" s="319">
        <f t="shared" si="89"/>
        <v>1</v>
      </c>
      <c r="BO24" s="319"/>
      <c r="BP24" s="319"/>
      <c r="BQ24" s="319"/>
      <c r="BR24" s="319"/>
      <c r="BS24" s="319"/>
      <c r="BT24" s="319"/>
      <c r="BU24" s="319"/>
      <c r="BV24" s="320"/>
    </row>
    <row r="25" spans="1:74" ht="20.100000000000001" customHeight="1">
      <c r="A25" s="316" t="s">
        <v>35</v>
      </c>
      <c r="B25" s="317" t="s">
        <v>505</v>
      </c>
      <c r="C25" s="318">
        <f t="shared" si="90"/>
        <v>2099.8000000000002</v>
      </c>
      <c r="D25" s="318">
        <f t="shared" si="91"/>
        <v>1128</v>
      </c>
      <c r="E25" s="318">
        <f t="shared" si="92"/>
        <v>971.8</v>
      </c>
      <c r="F25" s="318">
        <f t="shared" si="93"/>
        <v>393.8</v>
      </c>
      <c r="G25" s="318">
        <f t="shared" si="94"/>
        <v>0</v>
      </c>
      <c r="H25" s="318"/>
      <c r="I25" s="318"/>
      <c r="J25" s="318">
        <f t="shared" si="95"/>
        <v>393.8</v>
      </c>
      <c r="K25" s="318">
        <f>358+35.8</f>
        <v>393.8</v>
      </c>
      <c r="L25" s="318"/>
      <c r="M25" s="318">
        <f t="shared" si="96"/>
        <v>0</v>
      </c>
      <c r="N25" s="318">
        <f t="shared" si="97"/>
        <v>0</v>
      </c>
      <c r="O25" s="318"/>
      <c r="P25" s="318"/>
      <c r="Q25" s="318">
        <f t="shared" si="98"/>
        <v>0</v>
      </c>
      <c r="R25" s="318"/>
      <c r="S25" s="318"/>
      <c r="T25" s="318">
        <f t="shared" si="99"/>
        <v>1706</v>
      </c>
      <c r="U25" s="318">
        <f t="shared" si="100"/>
        <v>1128</v>
      </c>
      <c r="V25" s="318">
        <v>1128</v>
      </c>
      <c r="W25" s="318"/>
      <c r="X25" s="318">
        <f t="shared" si="101"/>
        <v>578</v>
      </c>
      <c r="Y25" s="318">
        <f>642+26-87-3</f>
        <v>578</v>
      </c>
      <c r="Z25" s="318"/>
      <c r="AA25" s="318">
        <f t="shared" si="102"/>
        <v>712.84100000000001</v>
      </c>
      <c r="AB25" s="318">
        <f t="shared" ref="AB25" si="112">AE25+AL25+AS25</f>
        <v>0</v>
      </c>
      <c r="AC25" s="318">
        <f t="shared" ref="AC25" si="113">AH25+AO25+AV25</f>
        <v>712.84100000000001</v>
      </c>
      <c r="AD25" s="318">
        <f t="shared" si="103"/>
        <v>390.67</v>
      </c>
      <c r="AE25" s="318">
        <f t="shared" si="104"/>
        <v>0</v>
      </c>
      <c r="AF25" s="318"/>
      <c r="AG25" s="318"/>
      <c r="AH25" s="318">
        <f t="shared" si="105"/>
        <v>390.67</v>
      </c>
      <c r="AI25" s="318">
        <v>390.67</v>
      </c>
      <c r="AJ25" s="318"/>
      <c r="AK25" s="318">
        <f t="shared" si="106"/>
        <v>0</v>
      </c>
      <c r="AL25" s="318">
        <f t="shared" si="107"/>
        <v>0</v>
      </c>
      <c r="AM25" s="318"/>
      <c r="AN25" s="318"/>
      <c r="AO25" s="318">
        <f t="shared" si="108"/>
        <v>0</v>
      </c>
      <c r="AP25" s="318"/>
      <c r="AQ25" s="318"/>
      <c r="AR25" s="318">
        <f t="shared" si="109"/>
        <v>322.17099999999999</v>
      </c>
      <c r="AS25" s="318">
        <f t="shared" si="110"/>
        <v>0</v>
      </c>
      <c r="AT25" s="318"/>
      <c r="AU25" s="318"/>
      <c r="AV25" s="318">
        <f t="shared" si="111"/>
        <v>322.17099999999999</v>
      </c>
      <c r="AW25" s="318">
        <v>322.17099999999999</v>
      </c>
      <c r="AX25" s="318"/>
      <c r="AY25" s="319">
        <f t="shared" si="55"/>
        <v>0.33948042670730544</v>
      </c>
      <c r="AZ25" s="319">
        <f t="shared" si="56"/>
        <v>0</v>
      </c>
      <c r="BA25" s="319">
        <f t="shared" si="57"/>
        <v>0.73352644577073478</v>
      </c>
      <c r="BB25" s="319">
        <f t="shared" ref="BB25" si="114">AD25/F25</f>
        <v>0.99205180294565776</v>
      </c>
      <c r="BC25" s="319"/>
      <c r="BD25" s="319"/>
      <c r="BE25" s="319"/>
      <c r="BF25" s="319">
        <f t="shared" si="67"/>
        <v>0.99205180294565776</v>
      </c>
      <c r="BG25" s="319">
        <f t="shared" si="68"/>
        <v>0.99205180294565776</v>
      </c>
      <c r="BH25" s="319"/>
      <c r="BI25" s="319"/>
      <c r="BJ25" s="319"/>
      <c r="BK25" s="319"/>
      <c r="BL25" s="319"/>
      <c r="BM25" s="319"/>
      <c r="BN25" s="319"/>
      <c r="BO25" s="319"/>
      <c r="BP25" s="319">
        <f t="shared" si="64"/>
        <v>0.18884583821805392</v>
      </c>
      <c r="BQ25" s="319">
        <f t="shared" ref="BQ25:BQ38" si="115">AS25/U25</f>
        <v>0</v>
      </c>
      <c r="BR25" s="319">
        <f t="shared" ref="BR25:BR38" si="116">AT25/V25</f>
        <v>0</v>
      </c>
      <c r="BS25" s="319"/>
      <c r="BT25" s="319">
        <f t="shared" si="65"/>
        <v>0.55738927335640132</v>
      </c>
      <c r="BU25" s="319">
        <f t="shared" si="66"/>
        <v>0.55738927335640132</v>
      </c>
      <c r="BV25" s="320"/>
    </row>
    <row r="26" spans="1:74" ht="20.100000000000001" customHeight="1">
      <c r="A26" s="316" t="s">
        <v>36</v>
      </c>
      <c r="B26" s="317" t="s">
        <v>78</v>
      </c>
      <c r="C26" s="318">
        <f t="shared" ref="C26" si="117">D26+E26</f>
        <v>746.9</v>
      </c>
      <c r="D26" s="318">
        <f t="shared" ref="D26" si="118">G26+N26+U26</f>
        <v>0</v>
      </c>
      <c r="E26" s="318">
        <f t="shared" ref="E26" si="119">J26+Q26+X26</f>
        <v>746.9</v>
      </c>
      <c r="F26" s="318">
        <f t="shared" ref="F26" si="120">G26+J26</f>
        <v>746.9</v>
      </c>
      <c r="G26" s="318">
        <f t="shared" ref="G26" si="121">H26+I26</f>
        <v>0</v>
      </c>
      <c r="H26" s="318"/>
      <c r="I26" s="318"/>
      <c r="J26" s="318">
        <f t="shared" ref="J26" si="122">K26+L26</f>
        <v>746.9</v>
      </c>
      <c r="K26" s="318">
        <f>679+67.9</f>
        <v>746.9</v>
      </c>
      <c r="L26" s="318"/>
      <c r="M26" s="318">
        <f t="shared" ref="M26" si="123">N26+Q26</f>
        <v>0</v>
      </c>
      <c r="N26" s="318">
        <f t="shared" ref="N26" si="124">O26+P26</f>
        <v>0</v>
      </c>
      <c r="O26" s="318"/>
      <c r="P26" s="318"/>
      <c r="Q26" s="318">
        <f t="shared" ref="Q26" si="125">R26+S26</f>
        <v>0</v>
      </c>
      <c r="R26" s="318"/>
      <c r="S26" s="318"/>
      <c r="T26" s="318">
        <f t="shared" ref="T26" si="126">U26+X26</f>
        <v>0</v>
      </c>
      <c r="U26" s="318">
        <f t="shared" ref="U26" si="127">V26+W26</f>
        <v>0</v>
      </c>
      <c r="V26" s="318"/>
      <c r="W26" s="318"/>
      <c r="X26" s="318">
        <f t="shared" ref="X26" si="128">Y26+Z26</f>
        <v>0</v>
      </c>
      <c r="Y26" s="318"/>
      <c r="Z26" s="318"/>
      <c r="AA26" s="318">
        <f t="shared" ref="AA26:AA27" si="129">AB26+AC26</f>
        <v>53.78</v>
      </c>
      <c r="AB26" s="318">
        <f t="shared" si="47"/>
        <v>0</v>
      </c>
      <c r="AC26" s="318">
        <f t="shared" si="48"/>
        <v>53.78</v>
      </c>
      <c r="AD26" s="318">
        <f t="shared" ref="AD26" si="130">AE26+AH26</f>
        <v>53.78</v>
      </c>
      <c r="AE26" s="318">
        <f t="shared" ref="AE26" si="131">AF26+AG26</f>
        <v>0</v>
      </c>
      <c r="AF26" s="318"/>
      <c r="AG26" s="318"/>
      <c r="AH26" s="318">
        <f t="shared" ref="AH26" si="132">AI26+AJ26</f>
        <v>53.78</v>
      </c>
      <c r="AI26" s="318">
        <v>53.78</v>
      </c>
      <c r="AJ26" s="318"/>
      <c r="AK26" s="318">
        <f t="shared" ref="AK26" si="133">AL26+AO26</f>
        <v>0</v>
      </c>
      <c r="AL26" s="318">
        <f t="shared" ref="AL26" si="134">AM26+AN26</f>
        <v>0</v>
      </c>
      <c r="AM26" s="318"/>
      <c r="AN26" s="318"/>
      <c r="AO26" s="318">
        <f t="shared" ref="AO26" si="135">AP26+AQ26</f>
        <v>0</v>
      </c>
      <c r="AP26" s="318"/>
      <c r="AQ26" s="318"/>
      <c r="AR26" s="318">
        <f t="shared" ref="AR26" si="136">AS26+AV26</f>
        <v>0</v>
      </c>
      <c r="AS26" s="318">
        <f t="shared" ref="AS26" si="137">AT26+AU26</f>
        <v>0</v>
      </c>
      <c r="AT26" s="318"/>
      <c r="AU26" s="318"/>
      <c r="AV26" s="318">
        <f t="shared" ref="AV26" si="138">AW26+AX26</f>
        <v>0</v>
      </c>
      <c r="AW26" s="318"/>
      <c r="AX26" s="318"/>
      <c r="AY26" s="319">
        <f t="shared" si="55"/>
        <v>7.2004284375418406E-2</v>
      </c>
      <c r="AZ26" s="319"/>
      <c r="BA26" s="319">
        <f t="shared" si="57"/>
        <v>7.2004284375418406E-2</v>
      </c>
      <c r="BB26" s="319">
        <f t="shared" si="60"/>
        <v>7.2004284375418406E-2</v>
      </c>
      <c r="BC26" s="319"/>
      <c r="BD26" s="319"/>
      <c r="BE26" s="319"/>
      <c r="BF26" s="319">
        <f t="shared" si="67"/>
        <v>7.2004284375418406E-2</v>
      </c>
      <c r="BG26" s="319">
        <f t="shared" si="68"/>
        <v>7.2004284375418406E-2</v>
      </c>
      <c r="BH26" s="319"/>
      <c r="BI26" s="319"/>
      <c r="BJ26" s="319"/>
      <c r="BK26" s="319"/>
      <c r="BL26" s="319"/>
      <c r="BM26" s="319"/>
      <c r="BN26" s="319"/>
      <c r="BO26" s="319"/>
      <c r="BP26" s="319"/>
      <c r="BQ26" s="319"/>
      <c r="BR26" s="319"/>
      <c r="BS26" s="319"/>
      <c r="BT26" s="319"/>
      <c r="BU26" s="319"/>
      <c r="BV26" s="320"/>
    </row>
    <row r="27" spans="1:74" ht="20.100000000000001" customHeight="1">
      <c r="A27" s="316" t="s">
        <v>37</v>
      </c>
      <c r="B27" s="317" t="s">
        <v>467</v>
      </c>
      <c r="C27" s="318">
        <f t="shared" ref="C27:C30" si="139">D27+E27</f>
        <v>2985</v>
      </c>
      <c r="D27" s="318">
        <f t="shared" si="36"/>
        <v>2985</v>
      </c>
      <c r="E27" s="318">
        <f t="shared" si="37"/>
        <v>0</v>
      </c>
      <c r="F27" s="318">
        <f t="shared" si="38"/>
        <v>0</v>
      </c>
      <c r="G27" s="318">
        <f t="shared" si="39"/>
        <v>0</v>
      </c>
      <c r="H27" s="318"/>
      <c r="I27" s="318"/>
      <c r="J27" s="318">
        <f t="shared" si="40"/>
        <v>0</v>
      </c>
      <c r="K27" s="318"/>
      <c r="L27" s="318"/>
      <c r="M27" s="318">
        <f t="shared" si="41"/>
        <v>0</v>
      </c>
      <c r="N27" s="318">
        <f t="shared" si="42"/>
        <v>0</v>
      </c>
      <c r="O27" s="318"/>
      <c r="P27" s="318"/>
      <c r="Q27" s="318">
        <f t="shared" si="43"/>
        <v>0</v>
      </c>
      <c r="R27" s="318"/>
      <c r="S27" s="318"/>
      <c r="T27" s="318">
        <f t="shared" si="44"/>
        <v>2985</v>
      </c>
      <c r="U27" s="318">
        <f t="shared" si="45"/>
        <v>2985</v>
      </c>
      <c r="V27" s="318">
        <v>2985</v>
      </c>
      <c r="W27" s="318"/>
      <c r="X27" s="318">
        <f t="shared" si="46"/>
        <v>0</v>
      </c>
      <c r="Y27" s="318"/>
      <c r="Z27" s="318"/>
      <c r="AA27" s="318">
        <f t="shared" si="129"/>
        <v>2986.8290000000002</v>
      </c>
      <c r="AB27" s="318">
        <f t="shared" si="47"/>
        <v>2986.8290000000002</v>
      </c>
      <c r="AC27" s="318">
        <f t="shared" si="48"/>
        <v>0</v>
      </c>
      <c r="AD27" s="318">
        <f t="shared" si="49"/>
        <v>0</v>
      </c>
      <c r="AE27" s="318">
        <f t="shared" si="50"/>
        <v>0</v>
      </c>
      <c r="AF27" s="318"/>
      <c r="AG27" s="318"/>
      <c r="AH27" s="318">
        <f t="shared" si="51"/>
        <v>0</v>
      </c>
      <c r="AI27" s="318"/>
      <c r="AJ27" s="318"/>
      <c r="AK27" s="318">
        <f t="shared" si="52"/>
        <v>0</v>
      </c>
      <c r="AL27" s="318">
        <f t="shared" si="53"/>
        <v>0</v>
      </c>
      <c r="AM27" s="318"/>
      <c r="AN27" s="318"/>
      <c r="AO27" s="318">
        <f t="shared" si="54"/>
        <v>0</v>
      </c>
      <c r="AP27" s="318"/>
      <c r="AQ27" s="318"/>
      <c r="AR27" s="318">
        <f t="shared" si="33"/>
        <v>2986.8290000000002</v>
      </c>
      <c r="AS27" s="318">
        <f t="shared" si="34"/>
        <v>2986.8290000000002</v>
      </c>
      <c r="AT27" s="318">
        <v>2986.8290000000002</v>
      </c>
      <c r="AU27" s="318"/>
      <c r="AV27" s="318">
        <f t="shared" si="35"/>
        <v>0</v>
      </c>
      <c r="AW27" s="318"/>
      <c r="AX27" s="318"/>
      <c r="AY27" s="319">
        <f t="shared" si="55"/>
        <v>1.0006127303182579</v>
      </c>
      <c r="AZ27" s="319">
        <f t="shared" si="56"/>
        <v>1.0006127303182579</v>
      </c>
      <c r="BA27" s="319"/>
      <c r="BB27" s="319"/>
      <c r="BC27" s="319"/>
      <c r="BD27" s="319"/>
      <c r="BE27" s="319"/>
      <c r="BF27" s="319"/>
      <c r="BG27" s="319"/>
      <c r="BH27" s="319"/>
      <c r="BI27" s="319"/>
      <c r="BJ27" s="319"/>
      <c r="BK27" s="319"/>
      <c r="BL27" s="319"/>
      <c r="BM27" s="319"/>
      <c r="BN27" s="319"/>
      <c r="BO27" s="319"/>
      <c r="BP27" s="319">
        <f t="shared" si="64"/>
        <v>1.0006127303182579</v>
      </c>
      <c r="BQ27" s="319">
        <f t="shared" si="115"/>
        <v>1.0006127303182579</v>
      </c>
      <c r="BR27" s="319">
        <f t="shared" si="116"/>
        <v>1.0006127303182579</v>
      </c>
      <c r="BS27" s="319"/>
      <c r="BT27" s="319"/>
      <c r="BU27" s="319"/>
      <c r="BV27" s="320"/>
    </row>
    <row r="28" spans="1:74" ht="20.100000000000001" customHeight="1">
      <c r="A28" s="316" t="s">
        <v>38</v>
      </c>
      <c r="B28" s="317" t="s">
        <v>468</v>
      </c>
      <c r="C28" s="318">
        <f t="shared" si="139"/>
        <v>1513</v>
      </c>
      <c r="D28" s="318">
        <f t="shared" si="36"/>
        <v>1513</v>
      </c>
      <c r="E28" s="318">
        <f t="shared" si="37"/>
        <v>0</v>
      </c>
      <c r="F28" s="318">
        <f t="shared" si="38"/>
        <v>0</v>
      </c>
      <c r="G28" s="318">
        <f t="shared" si="39"/>
        <v>0</v>
      </c>
      <c r="H28" s="318"/>
      <c r="I28" s="318"/>
      <c r="J28" s="318">
        <f t="shared" si="40"/>
        <v>0</v>
      </c>
      <c r="K28" s="318"/>
      <c r="L28" s="318"/>
      <c r="M28" s="318">
        <f t="shared" si="41"/>
        <v>1013</v>
      </c>
      <c r="N28" s="318">
        <f t="shared" si="42"/>
        <v>1013</v>
      </c>
      <c r="O28" s="318">
        <v>1013</v>
      </c>
      <c r="P28" s="318"/>
      <c r="Q28" s="318">
        <f t="shared" si="43"/>
        <v>0</v>
      </c>
      <c r="R28" s="318"/>
      <c r="S28" s="318"/>
      <c r="T28" s="318">
        <f t="shared" si="44"/>
        <v>500</v>
      </c>
      <c r="U28" s="318">
        <f t="shared" si="45"/>
        <v>500</v>
      </c>
      <c r="V28" s="318">
        <v>500</v>
      </c>
      <c r="W28" s="318"/>
      <c r="X28" s="318">
        <f t="shared" si="46"/>
        <v>0</v>
      </c>
      <c r="Y28" s="318"/>
      <c r="Z28" s="318"/>
      <c r="AA28" s="318">
        <f t="shared" ref="AA28" si="140">AB28+AC28</f>
        <v>1513.76</v>
      </c>
      <c r="AB28" s="318">
        <f t="shared" si="47"/>
        <v>1513.76</v>
      </c>
      <c r="AC28" s="318">
        <f t="shared" si="48"/>
        <v>0</v>
      </c>
      <c r="AD28" s="318">
        <f t="shared" si="49"/>
        <v>0</v>
      </c>
      <c r="AE28" s="318">
        <f t="shared" si="50"/>
        <v>0</v>
      </c>
      <c r="AF28" s="318"/>
      <c r="AG28" s="318"/>
      <c r="AH28" s="318">
        <f t="shared" si="51"/>
        <v>0</v>
      </c>
      <c r="AI28" s="318"/>
      <c r="AJ28" s="318"/>
      <c r="AK28" s="318">
        <f t="shared" si="52"/>
        <v>1009.917</v>
      </c>
      <c r="AL28" s="318">
        <f t="shared" si="53"/>
        <v>1009.917</v>
      </c>
      <c r="AM28" s="318">
        <v>1009.917</v>
      </c>
      <c r="AN28" s="318"/>
      <c r="AO28" s="318">
        <f t="shared" si="54"/>
        <v>0</v>
      </c>
      <c r="AP28" s="318"/>
      <c r="AQ28" s="318"/>
      <c r="AR28" s="318">
        <f t="shared" si="33"/>
        <v>503.84300000000002</v>
      </c>
      <c r="AS28" s="318">
        <f t="shared" si="34"/>
        <v>503.84300000000002</v>
      </c>
      <c r="AT28" s="318">
        <v>503.84300000000002</v>
      </c>
      <c r="AU28" s="318"/>
      <c r="AV28" s="318">
        <f t="shared" si="35"/>
        <v>0</v>
      </c>
      <c r="AW28" s="318"/>
      <c r="AX28" s="318"/>
      <c r="AY28" s="319">
        <f t="shared" si="55"/>
        <v>1.0005023132848645</v>
      </c>
      <c r="AZ28" s="319">
        <f t="shared" si="56"/>
        <v>1.0005023132848645</v>
      </c>
      <c r="BA28" s="319"/>
      <c r="BB28" s="319"/>
      <c r="BC28" s="319"/>
      <c r="BD28" s="319"/>
      <c r="BE28" s="319"/>
      <c r="BF28" s="319"/>
      <c r="BG28" s="319"/>
      <c r="BH28" s="319"/>
      <c r="BI28" s="319">
        <f t="shared" si="63"/>
        <v>0.9969565646594275</v>
      </c>
      <c r="BJ28" s="319">
        <f t="shared" ref="BJ28" si="141">AL28/N28</f>
        <v>0.9969565646594275</v>
      </c>
      <c r="BK28" s="319">
        <f t="shared" ref="BK28" si="142">AM28/O28</f>
        <v>0.9969565646594275</v>
      </c>
      <c r="BL28" s="319"/>
      <c r="BM28" s="319"/>
      <c r="BN28" s="319"/>
      <c r="BO28" s="319"/>
      <c r="BP28" s="319">
        <f t="shared" si="64"/>
        <v>1.0076860000000001</v>
      </c>
      <c r="BQ28" s="319">
        <f t="shared" si="115"/>
        <v>1.0076860000000001</v>
      </c>
      <c r="BR28" s="319">
        <f t="shared" si="116"/>
        <v>1.0076860000000001</v>
      </c>
      <c r="BS28" s="319"/>
      <c r="BT28" s="319"/>
      <c r="BU28" s="319"/>
      <c r="BV28" s="320"/>
    </row>
    <row r="29" spans="1:74" ht="20.100000000000001" customHeight="1">
      <c r="A29" s="316" t="s">
        <v>39</v>
      </c>
      <c r="B29" s="317" t="s">
        <v>469</v>
      </c>
      <c r="C29" s="318">
        <f t="shared" si="139"/>
        <v>2213</v>
      </c>
      <c r="D29" s="318">
        <f t="shared" si="36"/>
        <v>2213</v>
      </c>
      <c r="E29" s="318">
        <f t="shared" si="37"/>
        <v>0</v>
      </c>
      <c r="F29" s="318">
        <f t="shared" si="38"/>
        <v>0</v>
      </c>
      <c r="G29" s="318">
        <f t="shared" si="39"/>
        <v>0</v>
      </c>
      <c r="H29" s="318"/>
      <c r="I29" s="318"/>
      <c r="J29" s="318">
        <f t="shared" si="40"/>
        <v>0</v>
      </c>
      <c r="K29" s="318"/>
      <c r="L29" s="318"/>
      <c r="M29" s="318">
        <f t="shared" si="41"/>
        <v>1013</v>
      </c>
      <c r="N29" s="318">
        <f t="shared" si="42"/>
        <v>1013</v>
      </c>
      <c r="O29" s="318">
        <v>1013</v>
      </c>
      <c r="P29" s="318"/>
      <c r="Q29" s="318">
        <f t="shared" si="43"/>
        <v>0</v>
      </c>
      <c r="R29" s="318"/>
      <c r="S29" s="318"/>
      <c r="T29" s="318">
        <f t="shared" si="44"/>
        <v>1200</v>
      </c>
      <c r="U29" s="318">
        <f t="shared" si="45"/>
        <v>1200</v>
      </c>
      <c r="V29" s="318">
        <v>1200</v>
      </c>
      <c r="W29" s="318"/>
      <c r="X29" s="318">
        <f t="shared" si="46"/>
        <v>0</v>
      </c>
      <c r="Y29" s="318"/>
      <c r="Z29" s="318"/>
      <c r="AA29" s="318">
        <f t="shared" ref="AA29:AA38" si="143">AB29+AC29</f>
        <v>4039.8339999999998</v>
      </c>
      <c r="AB29" s="318">
        <f t="shared" si="47"/>
        <v>4039.8339999999998</v>
      </c>
      <c r="AC29" s="318">
        <f t="shared" si="48"/>
        <v>0</v>
      </c>
      <c r="AD29" s="318">
        <f t="shared" si="49"/>
        <v>0</v>
      </c>
      <c r="AE29" s="318">
        <f t="shared" si="50"/>
        <v>0</v>
      </c>
      <c r="AF29" s="318"/>
      <c r="AG29" s="318"/>
      <c r="AH29" s="318">
        <f t="shared" si="51"/>
        <v>0</v>
      </c>
      <c r="AI29" s="318"/>
      <c r="AJ29" s="318"/>
      <c r="AK29" s="318">
        <f t="shared" si="52"/>
        <v>1024.7560000000001</v>
      </c>
      <c r="AL29" s="318">
        <f t="shared" si="53"/>
        <v>1024.7560000000001</v>
      </c>
      <c r="AM29" s="318">
        <v>1024.7560000000001</v>
      </c>
      <c r="AN29" s="318"/>
      <c r="AO29" s="318">
        <f t="shared" si="54"/>
        <v>0</v>
      </c>
      <c r="AP29" s="318"/>
      <c r="AQ29" s="318"/>
      <c r="AR29" s="318">
        <f t="shared" si="33"/>
        <v>3015.078</v>
      </c>
      <c r="AS29" s="318">
        <f t="shared" si="34"/>
        <v>3015.078</v>
      </c>
      <c r="AT29" s="318">
        <v>3015.078</v>
      </c>
      <c r="AU29" s="318"/>
      <c r="AV29" s="318">
        <f t="shared" si="35"/>
        <v>0</v>
      </c>
      <c r="AW29" s="318"/>
      <c r="AX29" s="318"/>
      <c r="AY29" s="319">
        <f t="shared" si="55"/>
        <v>1.825501129688206</v>
      </c>
      <c r="AZ29" s="319">
        <f t="shared" si="56"/>
        <v>1.825501129688206</v>
      </c>
      <c r="BA29" s="319"/>
      <c r="BB29" s="319"/>
      <c r="BC29" s="319"/>
      <c r="BD29" s="319"/>
      <c r="BE29" s="319"/>
      <c r="BF29" s="319"/>
      <c r="BG29" s="319"/>
      <c r="BH29" s="319"/>
      <c r="BI29" s="319">
        <f t="shared" ref="BI29:BI30" si="144">AK29/M29</f>
        <v>1.0116051332675222</v>
      </c>
      <c r="BJ29" s="319">
        <f t="shared" ref="BJ29:BJ30" si="145">AL29/N29</f>
        <v>1.0116051332675222</v>
      </c>
      <c r="BK29" s="319">
        <f t="shared" ref="BK29:BK30" si="146">AM29/O29</f>
        <v>1.0116051332675222</v>
      </c>
      <c r="BL29" s="319"/>
      <c r="BM29" s="319"/>
      <c r="BN29" s="319"/>
      <c r="BO29" s="319"/>
      <c r="BP29" s="319">
        <f t="shared" si="64"/>
        <v>2.5125649999999999</v>
      </c>
      <c r="BQ29" s="319">
        <f t="shared" si="115"/>
        <v>2.5125649999999999</v>
      </c>
      <c r="BR29" s="319">
        <f t="shared" si="116"/>
        <v>2.5125649999999999</v>
      </c>
      <c r="BS29" s="319"/>
      <c r="BT29" s="319"/>
      <c r="BU29" s="319"/>
      <c r="BV29" s="320"/>
    </row>
    <row r="30" spans="1:74" ht="20.100000000000001" customHeight="1">
      <c r="A30" s="316" t="s">
        <v>40</v>
      </c>
      <c r="B30" s="317" t="s">
        <v>470</v>
      </c>
      <c r="C30" s="318">
        <f t="shared" si="139"/>
        <v>1013</v>
      </c>
      <c r="D30" s="318">
        <f t="shared" ref="D30" si="147">G30+N30+U30</f>
        <v>1013</v>
      </c>
      <c r="E30" s="318">
        <f t="shared" ref="E30" si="148">J30+Q30+X30</f>
        <v>0</v>
      </c>
      <c r="F30" s="318">
        <f t="shared" ref="F30" si="149">G30+J30</f>
        <v>0</v>
      </c>
      <c r="G30" s="318">
        <f t="shared" ref="G30" si="150">H30+I30</f>
        <v>0</v>
      </c>
      <c r="H30" s="318"/>
      <c r="I30" s="318"/>
      <c r="J30" s="318">
        <f t="shared" ref="J30" si="151">K30+L30</f>
        <v>0</v>
      </c>
      <c r="K30" s="318"/>
      <c r="L30" s="318"/>
      <c r="M30" s="318">
        <f t="shared" ref="M30" si="152">N30+Q30</f>
        <v>1013</v>
      </c>
      <c r="N30" s="318">
        <f t="shared" ref="N30" si="153">O30+P30</f>
        <v>1013</v>
      </c>
      <c r="O30" s="318">
        <v>1013</v>
      </c>
      <c r="P30" s="318"/>
      <c r="Q30" s="318">
        <f t="shared" ref="Q30" si="154">R30+S30</f>
        <v>0</v>
      </c>
      <c r="R30" s="318"/>
      <c r="S30" s="318"/>
      <c r="T30" s="318">
        <f t="shared" ref="T30" si="155">U30+X30</f>
        <v>0</v>
      </c>
      <c r="U30" s="318">
        <f t="shared" ref="U30" si="156">V30+W30</f>
        <v>0</v>
      </c>
      <c r="V30" s="318"/>
      <c r="W30" s="318"/>
      <c r="X30" s="318">
        <f t="shared" ref="X30" si="157">Y30+Z30</f>
        <v>0</v>
      </c>
      <c r="Y30" s="318"/>
      <c r="Z30" s="318"/>
      <c r="AA30" s="318">
        <f t="shared" si="143"/>
        <v>1628.4002</v>
      </c>
      <c r="AB30" s="318">
        <f t="shared" si="47"/>
        <v>1628.4002</v>
      </c>
      <c r="AC30" s="318">
        <f t="shared" si="48"/>
        <v>0</v>
      </c>
      <c r="AD30" s="318">
        <f t="shared" ref="AD30" si="158">AE30+AH30</f>
        <v>0</v>
      </c>
      <c r="AE30" s="318">
        <f t="shared" ref="AE30" si="159">AF30+AG30</f>
        <v>0</v>
      </c>
      <c r="AF30" s="318"/>
      <c r="AG30" s="318"/>
      <c r="AH30" s="318">
        <f t="shared" ref="AH30" si="160">AI30+AJ30</f>
        <v>0</v>
      </c>
      <c r="AI30" s="318"/>
      <c r="AJ30" s="318"/>
      <c r="AK30" s="318">
        <f t="shared" ref="AK30" si="161">AL30+AO30</f>
        <v>1628.4002</v>
      </c>
      <c r="AL30" s="318">
        <f t="shared" ref="AL30" si="162">AM30+AN30</f>
        <v>1628.4002</v>
      </c>
      <c r="AM30" s="318">
        <v>1628.4002</v>
      </c>
      <c r="AN30" s="318"/>
      <c r="AO30" s="318">
        <f t="shared" ref="AO30" si="163">AP30+AQ30</f>
        <v>0</v>
      </c>
      <c r="AP30" s="318"/>
      <c r="AQ30" s="318"/>
      <c r="AR30" s="318">
        <f t="shared" ref="AR30" si="164">AS30+AV30</f>
        <v>0</v>
      </c>
      <c r="AS30" s="318">
        <f t="shared" ref="AS30" si="165">AT30+AU30</f>
        <v>0</v>
      </c>
      <c r="AT30" s="318"/>
      <c r="AU30" s="318"/>
      <c r="AV30" s="318">
        <f t="shared" ref="AV30" si="166">AW30+AX30</f>
        <v>0</v>
      </c>
      <c r="AW30" s="318"/>
      <c r="AX30" s="318"/>
      <c r="AY30" s="319">
        <f t="shared" si="55"/>
        <v>1.6075026653504443</v>
      </c>
      <c r="AZ30" s="319">
        <f t="shared" si="56"/>
        <v>1.6075026653504443</v>
      </c>
      <c r="BA30" s="319"/>
      <c r="BB30" s="319"/>
      <c r="BC30" s="319"/>
      <c r="BD30" s="319"/>
      <c r="BE30" s="319"/>
      <c r="BF30" s="319"/>
      <c r="BG30" s="319"/>
      <c r="BH30" s="319"/>
      <c r="BI30" s="319">
        <f t="shared" si="144"/>
        <v>1.6075026653504443</v>
      </c>
      <c r="BJ30" s="319">
        <f t="shared" si="145"/>
        <v>1.6075026653504443</v>
      </c>
      <c r="BK30" s="319">
        <f t="shared" si="146"/>
        <v>1.6075026653504443</v>
      </c>
      <c r="BL30" s="319"/>
      <c r="BM30" s="319"/>
      <c r="BN30" s="319"/>
      <c r="BO30" s="319"/>
      <c r="BP30" s="319"/>
      <c r="BQ30" s="319"/>
      <c r="BR30" s="319"/>
      <c r="BS30" s="319"/>
      <c r="BT30" s="319"/>
      <c r="BU30" s="319"/>
      <c r="BV30" s="320"/>
    </row>
    <row r="31" spans="1:74" ht="20.100000000000001" customHeight="1">
      <c r="A31" s="316" t="s">
        <v>61</v>
      </c>
      <c r="B31" s="317" t="s">
        <v>471</v>
      </c>
      <c r="C31" s="318">
        <f t="shared" ref="C31:C36" si="167">D31+E31</f>
        <v>2900</v>
      </c>
      <c r="D31" s="318">
        <f t="shared" ref="D31:D36" si="168">G31+N31+U31</f>
        <v>2900</v>
      </c>
      <c r="E31" s="318">
        <f t="shared" ref="E31:E36" si="169">J31+Q31+X31</f>
        <v>0</v>
      </c>
      <c r="F31" s="318">
        <f t="shared" ref="F31:F36" si="170">G31+J31</f>
        <v>0</v>
      </c>
      <c r="G31" s="318">
        <f t="shared" ref="G31:G36" si="171">H31+I31</f>
        <v>0</v>
      </c>
      <c r="H31" s="318"/>
      <c r="I31" s="318"/>
      <c r="J31" s="318">
        <f t="shared" ref="J31:J36" si="172">K31+L31</f>
        <v>0</v>
      </c>
      <c r="K31" s="318"/>
      <c r="L31" s="318"/>
      <c r="M31" s="318">
        <f t="shared" ref="M31:M36" si="173">N31+Q31</f>
        <v>0</v>
      </c>
      <c r="N31" s="318">
        <f t="shared" ref="N31:N36" si="174">O31+P31</f>
        <v>0</v>
      </c>
      <c r="O31" s="318"/>
      <c r="P31" s="318"/>
      <c r="Q31" s="318">
        <f t="shared" ref="Q31:Q36" si="175">R31+S31</f>
        <v>0</v>
      </c>
      <c r="R31" s="318"/>
      <c r="S31" s="318"/>
      <c r="T31" s="318">
        <f t="shared" ref="T31:T36" si="176">U31+X31</f>
        <v>2900</v>
      </c>
      <c r="U31" s="318">
        <f t="shared" ref="U31:U36" si="177">V31+W31</f>
        <v>2900</v>
      </c>
      <c r="V31" s="318">
        <v>2900</v>
      </c>
      <c r="W31" s="318"/>
      <c r="X31" s="318">
        <f t="shared" ref="X31:X36" si="178">Y31+Z31</f>
        <v>0</v>
      </c>
      <c r="Y31" s="318"/>
      <c r="Z31" s="318"/>
      <c r="AA31" s="318">
        <f t="shared" si="143"/>
        <v>6658.6814999999997</v>
      </c>
      <c r="AB31" s="318">
        <f t="shared" si="47"/>
        <v>6658.6814999999997</v>
      </c>
      <c r="AC31" s="318">
        <f t="shared" si="48"/>
        <v>0</v>
      </c>
      <c r="AD31" s="318">
        <f t="shared" ref="AD31:AD36" si="179">AE31+AH31</f>
        <v>0</v>
      </c>
      <c r="AE31" s="318">
        <f t="shared" ref="AE31:AE36" si="180">AF31+AG31</f>
        <v>0</v>
      </c>
      <c r="AF31" s="318"/>
      <c r="AG31" s="318"/>
      <c r="AH31" s="318">
        <f t="shared" ref="AH31:AH36" si="181">AI31+AJ31</f>
        <v>0</v>
      </c>
      <c r="AI31" s="318"/>
      <c r="AJ31" s="318"/>
      <c r="AK31" s="318">
        <f t="shared" ref="AK31:AK36" si="182">AL31+AO31</f>
        <v>1705.3440000000001</v>
      </c>
      <c r="AL31" s="318">
        <f t="shared" ref="AL31:AL36" si="183">AM31+AN31</f>
        <v>1705.3440000000001</v>
      </c>
      <c r="AM31" s="318">
        <v>1705.3440000000001</v>
      </c>
      <c r="AN31" s="318"/>
      <c r="AO31" s="318">
        <f t="shared" ref="AO31:AO36" si="184">AP31+AQ31</f>
        <v>0</v>
      </c>
      <c r="AP31" s="318"/>
      <c r="AQ31" s="318"/>
      <c r="AR31" s="318">
        <f t="shared" ref="AR31:AR36" si="185">AS31+AV31</f>
        <v>4953.3374999999996</v>
      </c>
      <c r="AS31" s="318">
        <f t="shared" ref="AS31:AS36" si="186">AT31+AU31</f>
        <v>4953.3374999999996</v>
      </c>
      <c r="AT31" s="318">
        <v>4953.3374999999996</v>
      </c>
      <c r="AU31" s="318"/>
      <c r="AV31" s="318">
        <f t="shared" ref="AV31:AV36" si="187">AW31+AX31</f>
        <v>0</v>
      </c>
      <c r="AW31" s="318"/>
      <c r="AX31" s="318"/>
      <c r="AY31" s="319">
        <f t="shared" si="55"/>
        <v>2.2960970689655174</v>
      </c>
      <c r="AZ31" s="319">
        <f t="shared" si="56"/>
        <v>2.2960970689655174</v>
      </c>
      <c r="BA31" s="319"/>
      <c r="BB31" s="319"/>
      <c r="BC31" s="319"/>
      <c r="BD31" s="319"/>
      <c r="BE31" s="319"/>
      <c r="BF31" s="319"/>
      <c r="BG31" s="319"/>
      <c r="BH31" s="319"/>
      <c r="BI31" s="319"/>
      <c r="BJ31" s="319"/>
      <c r="BK31" s="319"/>
      <c r="BL31" s="319"/>
      <c r="BM31" s="319"/>
      <c r="BN31" s="319"/>
      <c r="BO31" s="319"/>
      <c r="BP31" s="319">
        <f t="shared" si="64"/>
        <v>1.7080474137931034</v>
      </c>
      <c r="BQ31" s="319">
        <f t="shared" si="115"/>
        <v>1.7080474137931034</v>
      </c>
      <c r="BR31" s="319">
        <f t="shared" si="116"/>
        <v>1.7080474137931034</v>
      </c>
      <c r="BS31" s="319"/>
      <c r="BT31" s="319"/>
      <c r="BU31" s="319"/>
      <c r="BV31" s="320"/>
    </row>
    <row r="32" spans="1:74" ht="20.100000000000001" customHeight="1">
      <c r="A32" s="316" t="s">
        <v>62</v>
      </c>
      <c r="B32" s="317" t="s">
        <v>472</v>
      </c>
      <c r="C32" s="318">
        <f t="shared" si="167"/>
        <v>1950</v>
      </c>
      <c r="D32" s="318">
        <f t="shared" si="168"/>
        <v>1950</v>
      </c>
      <c r="E32" s="318">
        <f t="shared" si="169"/>
        <v>0</v>
      </c>
      <c r="F32" s="318">
        <f t="shared" si="170"/>
        <v>0</v>
      </c>
      <c r="G32" s="318">
        <f t="shared" si="171"/>
        <v>0</v>
      </c>
      <c r="H32" s="318"/>
      <c r="I32" s="318"/>
      <c r="J32" s="318">
        <f t="shared" si="172"/>
        <v>0</v>
      </c>
      <c r="K32" s="318"/>
      <c r="L32" s="318"/>
      <c r="M32" s="318">
        <f t="shared" si="173"/>
        <v>0</v>
      </c>
      <c r="N32" s="318">
        <f t="shared" si="174"/>
        <v>0</v>
      </c>
      <c r="O32" s="318"/>
      <c r="P32" s="318"/>
      <c r="Q32" s="318">
        <f t="shared" si="175"/>
        <v>0</v>
      </c>
      <c r="R32" s="318"/>
      <c r="S32" s="318"/>
      <c r="T32" s="318">
        <f t="shared" si="176"/>
        <v>1950</v>
      </c>
      <c r="U32" s="318">
        <f t="shared" si="177"/>
        <v>1950</v>
      </c>
      <c r="V32" s="318">
        <v>1950</v>
      </c>
      <c r="W32" s="318"/>
      <c r="X32" s="318">
        <f t="shared" si="178"/>
        <v>0</v>
      </c>
      <c r="Y32" s="318"/>
      <c r="Z32" s="318"/>
      <c r="AA32" s="318">
        <f t="shared" si="143"/>
        <v>4954.7164480000001</v>
      </c>
      <c r="AB32" s="318">
        <f t="shared" si="47"/>
        <v>4954.7164480000001</v>
      </c>
      <c r="AC32" s="318">
        <f t="shared" si="48"/>
        <v>0</v>
      </c>
      <c r="AD32" s="318">
        <f t="shared" si="179"/>
        <v>0</v>
      </c>
      <c r="AE32" s="318">
        <f t="shared" si="180"/>
        <v>0</v>
      </c>
      <c r="AF32" s="318"/>
      <c r="AG32" s="318"/>
      <c r="AH32" s="318">
        <f t="shared" si="181"/>
        <v>0</v>
      </c>
      <c r="AI32" s="318"/>
      <c r="AJ32" s="318"/>
      <c r="AK32" s="318">
        <f t="shared" si="182"/>
        <v>1105.5250000000001</v>
      </c>
      <c r="AL32" s="318">
        <f t="shared" si="183"/>
        <v>1105.5250000000001</v>
      </c>
      <c r="AM32" s="318">
        <v>1105.5250000000001</v>
      </c>
      <c r="AN32" s="318"/>
      <c r="AO32" s="318">
        <f t="shared" si="184"/>
        <v>0</v>
      </c>
      <c r="AP32" s="318"/>
      <c r="AQ32" s="318"/>
      <c r="AR32" s="318">
        <f t="shared" si="185"/>
        <v>3849.191448</v>
      </c>
      <c r="AS32" s="318">
        <f t="shared" si="186"/>
        <v>3849.191448</v>
      </c>
      <c r="AT32" s="318">
        <v>3849.191448</v>
      </c>
      <c r="AU32" s="318"/>
      <c r="AV32" s="318">
        <f t="shared" si="187"/>
        <v>0</v>
      </c>
      <c r="AW32" s="318"/>
      <c r="AX32" s="318"/>
      <c r="AY32" s="319">
        <f t="shared" si="55"/>
        <v>2.54088022974359</v>
      </c>
      <c r="AZ32" s="319">
        <f t="shared" si="56"/>
        <v>2.54088022974359</v>
      </c>
      <c r="BA32" s="319"/>
      <c r="BB32" s="319"/>
      <c r="BC32" s="319"/>
      <c r="BD32" s="319"/>
      <c r="BE32" s="319"/>
      <c r="BF32" s="319"/>
      <c r="BG32" s="319"/>
      <c r="BH32" s="319"/>
      <c r="BI32" s="319"/>
      <c r="BJ32" s="319"/>
      <c r="BK32" s="319"/>
      <c r="BL32" s="319"/>
      <c r="BM32" s="319"/>
      <c r="BN32" s="319"/>
      <c r="BO32" s="319"/>
      <c r="BP32" s="319">
        <f t="shared" si="64"/>
        <v>1.9739443323076924</v>
      </c>
      <c r="BQ32" s="319">
        <f t="shared" si="115"/>
        <v>1.9739443323076924</v>
      </c>
      <c r="BR32" s="319">
        <f t="shared" si="116"/>
        <v>1.9739443323076924</v>
      </c>
      <c r="BS32" s="319"/>
      <c r="BT32" s="319"/>
      <c r="BU32" s="319"/>
      <c r="BV32" s="320"/>
    </row>
    <row r="33" spans="1:74" ht="20.100000000000001" customHeight="1">
      <c r="A33" s="316" t="s">
        <v>63</v>
      </c>
      <c r="B33" s="317" t="s">
        <v>473</v>
      </c>
      <c r="C33" s="318">
        <f t="shared" si="167"/>
        <v>1933</v>
      </c>
      <c r="D33" s="318">
        <f t="shared" si="168"/>
        <v>1933</v>
      </c>
      <c r="E33" s="318">
        <f t="shared" si="169"/>
        <v>0</v>
      </c>
      <c r="F33" s="318">
        <f t="shared" si="170"/>
        <v>0</v>
      </c>
      <c r="G33" s="318">
        <f t="shared" si="171"/>
        <v>0</v>
      </c>
      <c r="H33" s="318"/>
      <c r="I33" s="318"/>
      <c r="J33" s="318">
        <f t="shared" si="172"/>
        <v>0</v>
      </c>
      <c r="K33" s="318"/>
      <c r="L33" s="318"/>
      <c r="M33" s="318">
        <f t="shared" si="173"/>
        <v>0</v>
      </c>
      <c r="N33" s="318">
        <f t="shared" si="174"/>
        <v>0</v>
      </c>
      <c r="O33" s="318"/>
      <c r="P33" s="318"/>
      <c r="Q33" s="318">
        <f t="shared" si="175"/>
        <v>0</v>
      </c>
      <c r="R33" s="318"/>
      <c r="S33" s="318"/>
      <c r="T33" s="318">
        <f t="shared" si="176"/>
        <v>1933</v>
      </c>
      <c r="U33" s="318">
        <f t="shared" si="177"/>
        <v>1933</v>
      </c>
      <c r="V33" s="318">
        <v>1933</v>
      </c>
      <c r="W33" s="318"/>
      <c r="X33" s="318">
        <f t="shared" si="178"/>
        <v>0</v>
      </c>
      <c r="Y33" s="318"/>
      <c r="Z33" s="318"/>
      <c r="AA33" s="318">
        <f t="shared" si="143"/>
        <v>3012.3158020000001</v>
      </c>
      <c r="AB33" s="318">
        <f t="shared" si="47"/>
        <v>3012.3158020000001</v>
      </c>
      <c r="AC33" s="318">
        <f t="shared" si="48"/>
        <v>0</v>
      </c>
      <c r="AD33" s="318">
        <f t="shared" si="179"/>
        <v>0</v>
      </c>
      <c r="AE33" s="318">
        <f t="shared" si="180"/>
        <v>0</v>
      </c>
      <c r="AF33" s="318"/>
      <c r="AG33" s="318"/>
      <c r="AH33" s="318">
        <f t="shared" si="181"/>
        <v>0</v>
      </c>
      <c r="AI33" s="318"/>
      <c r="AJ33" s="318"/>
      <c r="AK33" s="318">
        <f t="shared" si="182"/>
        <v>1080.0450000000001</v>
      </c>
      <c r="AL33" s="318">
        <f t="shared" si="183"/>
        <v>1080.0450000000001</v>
      </c>
      <c r="AM33" s="318">
        <v>1080.0450000000001</v>
      </c>
      <c r="AN33" s="318"/>
      <c r="AO33" s="318">
        <f t="shared" si="184"/>
        <v>0</v>
      </c>
      <c r="AP33" s="318"/>
      <c r="AQ33" s="318"/>
      <c r="AR33" s="318">
        <f t="shared" si="185"/>
        <v>1932.270802</v>
      </c>
      <c r="AS33" s="318">
        <f t="shared" si="186"/>
        <v>1932.270802</v>
      </c>
      <c r="AT33" s="318">
        <v>1932.270802</v>
      </c>
      <c r="AU33" s="318"/>
      <c r="AV33" s="318">
        <f t="shared" si="187"/>
        <v>0</v>
      </c>
      <c r="AW33" s="318"/>
      <c r="AX33" s="318"/>
      <c r="AY33" s="319">
        <f t="shared" si="55"/>
        <v>1.5583630636316608</v>
      </c>
      <c r="AZ33" s="319">
        <f t="shared" si="56"/>
        <v>1.5583630636316608</v>
      </c>
      <c r="BA33" s="319"/>
      <c r="BB33" s="319"/>
      <c r="BC33" s="319"/>
      <c r="BD33" s="319"/>
      <c r="BE33" s="319"/>
      <c r="BF33" s="319"/>
      <c r="BG33" s="319"/>
      <c r="BH33" s="319"/>
      <c r="BI33" s="319"/>
      <c r="BJ33" s="319"/>
      <c r="BK33" s="319"/>
      <c r="BL33" s="319"/>
      <c r="BM33" s="319"/>
      <c r="BN33" s="319"/>
      <c r="BO33" s="319"/>
      <c r="BP33" s="319">
        <f t="shared" si="64"/>
        <v>0.99962276357992752</v>
      </c>
      <c r="BQ33" s="319">
        <f t="shared" si="115"/>
        <v>0.99962276357992752</v>
      </c>
      <c r="BR33" s="319">
        <f t="shared" si="116"/>
        <v>0.99962276357992752</v>
      </c>
      <c r="BS33" s="319"/>
      <c r="BT33" s="319"/>
      <c r="BU33" s="319"/>
      <c r="BV33" s="320"/>
    </row>
    <row r="34" spans="1:74" ht="20.100000000000001" customHeight="1">
      <c r="A34" s="316" t="s">
        <v>64</v>
      </c>
      <c r="B34" s="317" t="s">
        <v>474</v>
      </c>
      <c r="C34" s="318">
        <f t="shared" si="167"/>
        <v>2400</v>
      </c>
      <c r="D34" s="318">
        <f t="shared" si="168"/>
        <v>2400</v>
      </c>
      <c r="E34" s="318">
        <f t="shared" si="169"/>
        <v>0</v>
      </c>
      <c r="F34" s="318">
        <f t="shared" si="170"/>
        <v>0</v>
      </c>
      <c r="G34" s="318">
        <f t="shared" si="171"/>
        <v>0</v>
      </c>
      <c r="H34" s="318"/>
      <c r="I34" s="318"/>
      <c r="J34" s="318">
        <f t="shared" si="172"/>
        <v>0</v>
      </c>
      <c r="K34" s="318"/>
      <c r="L34" s="318"/>
      <c r="M34" s="318">
        <f t="shared" si="173"/>
        <v>0</v>
      </c>
      <c r="N34" s="318">
        <f t="shared" si="174"/>
        <v>0</v>
      </c>
      <c r="O34" s="318"/>
      <c r="P34" s="318"/>
      <c r="Q34" s="318">
        <f t="shared" si="175"/>
        <v>0</v>
      </c>
      <c r="R34" s="318"/>
      <c r="S34" s="318"/>
      <c r="T34" s="318">
        <f t="shared" si="176"/>
        <v>2400</v>
      </c>
      <c r="U34" s="318">
        <f t="shared" si="177"/>
        <v>2400</v>
      </c>
      <c r="V34" s="318">
        <v>2400</v>
      </c>
      <c r="W34" s="318"/>
      <c r="X34" s="318">
        <f t="shared" si="178"/>
        <v>0</v>
      </c>
      <c r="Y34" s="318"/>
      <c r="Z34" s="318"/>
      <c r="AA34" s="318">
        <f t="shared" si="143"/>
        <v>3850.4459999999999</v>
      </c>
      <c r="AB34" s="318">
        <f t="shared" si="47"/>
        <v>3850.4459999999999</v>
      </c>
      <c r="AC34" s="318">
        <f t="shared" si="48"/>
        <v>0</v>
      </c>
      <c r="AD34" s="318">
        <f t="shared" si="179"/>
        <v>0</v>
      </c>
      <c r="AE34" s="318">
        <f t="shared" si="180"/>
        <v>0</v>
      </c>
      <c r="AF34" s="318"/>
      <c r="AG34" s="318"/>
      <c r="AH34" s="318">
        <f t="shared" si="181"/>
        <v>0</v>
      </c>
      <c r="AI34" s="318"/>
      <c r="AJ34" s="318"/>
      <c r="AK34" s="318">
        <f t="shared" si="182"/>
        <v>1110.499</v>
      </c>
      <c r="AL34" s="318">
        <f t="shared" si="183"/>
        <v>1110.499</v>
      </c>
      <c r="AM34" s="318">
        <v>1110.499</v>
      </c>
      <c r="AN34" s="318"/>
      <c r="AO34" s="318">
        <f t="shared" si="184"/>
        <v>0</v>
      </c>
      <c r="AP34" s="318"/>
      <c r="AQ34" s="318"/>
      <c r="AR34" s="318">
        <f t="shared" si="185"/>
        <v>2739.9470000000001</v>
      </c>
      <c r="AS34" s="318">
        <f t="shared" si="186"/>
        <v>2739.9470000000001</v>
      </c>
      <c r="AT34" s="318">
        <v>2739.9470000000001</v>
      </c>
      <c r="AU34" s="318"/>
      <c r="AV34" s="318">
        <f t="shared" si="187"/>
        <v>0</v>
      </c>
      <c r="AW34" s="318"/>
      <c r="AX34" s="318"/>
      <c r="AY34" s="319">
        <f t="shared" si="55"/>
        <v>1.6043525000000001</v>
      </c>
      <c r="AZ34" s="319">
        <f t="shared" si="56"/>
        <v>1.6043525000000001</v>
      </c>
      <c r="BA34" s="319"/>
      <c r="BB34" s="319"/>
      <c r="BC34" s="319"/>
      <c r="BD34" s="319"/>
      <c r="BE34" s="319"/>
      <c r="BF34" s="319"/>
      <c r="BG34" s="319"/>
      <c r="BH34" s="319"/>
      <c r="BI34" s="319"/>
      <c r="BJ34" s="319"/>
      <c r="BK34" s="319"/>
      <c r="BL34" s="319"/>
      <c r="BM34" s="319"/>
      <c r="BN34" s="319"/>
      <c r="BO34" s="319"/>
      <c r="BP34" s="319">
        <f t="shared" si="64"/>
        <v>1.1416445833333333</v>
      </c>
      <c r="BQ34" s="319">
        <f t="shared" si="115"/>
        <v>1.1416445833333333</v>
      </c>
      <c r="BR34" s="319">
        <f t="shared" si="116"/>
        <v>1.1416445833333333</v>
      </c>
      <c r="BS34" s="319"/>
      <c r="BT34" s="319"/>
      <c r="BU34" s="319"/>
      <c r="BV34" s="320"/>
    </row>
    <row r="35" spans="1:74" ht="20.100000000000001" customHeight="1">
      <c r="A35" s="316" t="s">
        <v>65</v>
      </c>
      <c r="B35" s="317" t="s">
        <v>475</v>
      </c>
      <c r="C35" s="318">
        <f t="shared" si="167"/>
        <v>2492</v>
      </c>
      <c r="D35" s="318">
        <f t="shared" si="168"/>
        <v>2492</v>
      </c>
      <c r="E35" s="318">
        <f t="shared" si="169"/>
        <v>0</v>
      </c>
      <c r="F35" s="318">
        <f t="shared" si="170"/>
        <v>0</v>
      </c>
      <c r="G35" s="318">
        <f t="shared" si="171"/>
        <v>0</v>
      </c>
      <c r="H35" s="318"/>
      <c r="I35" s="318"/>
      <c r="J35" s="318">
        <f t="shared" si="172"/>
        <v>0</v>
      </c>
      <c r="K35" s="318"/>
      <c r="L35" s="318"/>
      <c r="M35" s="318">
        <f t="shared" si="173"/>
        <v>0</v>
      </c>
      <c r="N35" s="318">
        <f t="shared" si="174"/>
        <v>0</v>
      </c>
      <c r="O35" s="318"/>
      <c r="P35" s="318"/>
      <c r="Q35" s="318">
        <f t="shared" si="175"/>
        <v>0</v>
      </c>
      <c r="R35" s="318"/>
      <c r="S35" s="318"/>
      <c r="T35" s="318">
        <f t="shared" si="176"/>
        <v>2492</v>
      </c>
      <c r="U35" s="318">
        <f t="shared" si="177"/>
        <v>2492</v>
      </c>
      <c r="V35" s="318">
        <v>2492</v>
      </c>
      <c r="W35" s="318"/>
      <c r="X35" s="318">
        <f t="shared" si="178"/>
        <v>0</v>
      </c>
      <c r="Y35" s="318"/>
      <c r="Z35" s="318"/>
      <c r="AA35" s="318">
        <f t="shared" si="143"/>
        <v>2494.6776159999999</v>
      </c>
      <c r="AB35" s="318">
        <f t="shared" si="47"/>
        <v>2494.6776159999999</v>
      </c>
      <c r="AC35" s="318">
        <f t="shared" si="48"/>
        <v>0</v>
      </c>
      <c r="AD35" s="318">
        <f t="shared" si="179"/>
        <v>0</v>
      </c>
      <c r="AE35" s="318">
        <f t="shared" si="180"/>
        <v>0</v>
      </c>
      <c r="AF35" s="318"/>
      <c r="AG35" s="318"/>
      <c r="AH35" s="318">
        <f t="shared" si="181"/>
        <v>0</v>
      </c>
      <c r="AI35" s="318"/>
      <c r="AJ35" s="318"/>
      <c r="AK35" s="318">
        <f t="shared" si="182"/>
        <v>8.93</v>
      </c>
      <c r="AL35" s="318">
        <f t="shared" si="183"/>
        <v>8.93</v>
      </c>
      <c r="AM35" s="318">
        <v>8.93</v>
      </c>
      <c r="AN35" s="318"/>
      <c r="AO35" s="318">
        <f t="shared" si="184"/>
        <v>0</v>
      </c>
      <c r="AP35" s="318"/>
      <c r="AQ35" s="318"/>
      <c r="AR35" s="318">
        <f t="shared" si="185"/>
        <v>2485.7476160000001</v>
      </c>
      <c r="AS35" s="318">
        <f t="shared" si="186"/>
        <v>2485.7476160000001</v>
      </c>
      <c r="AT35" s="318">
        <v>2485.7476160000001</v>
      </c>
      <c r="AU35" s="318"/>
      <c r="AV35" s="318">
        <f t="shared" si="187"/>
        <v>0</v>
      </c>
      <c r="AW35" s="318"/>
      <c r="AX35" s="318"/>
      <c r="AY35" s="319">
        <f t="shared" si="55"/>
        <v>1.0010744847512039</v>
      </c>
      <c r="AZ35" s="319">
        <f t="shared" si="56"/>
        <v>1.0010744847512039</v>
      </c>
      <c r="BA35" s="319"/>
      <c r="BB35" s="319"/>
      <c r="BC35" s="319"/>
      <c r="BD35" s="319"/>
      <c r="BE35" s="319"/>
      <c r="BF35" s="319"/>
      <c r="BG35" s="319"/>
      <c r="BH35" s="319"/>
      <c r="BI35" s="319"/>
      <c r="BJ35" s="319"/>
      <c r="BK35" s="319"/>
      <c r="BL35" s="319"/>
      <c r="BM35" s="319"/>
      <c r="BN35" s="319"/>
      <c r="BO35" s="319"/>
      <c r="BP35" s="319">
        <f t="shared" si="64"/>
        <v>0.99749101765650083</v>
      </c>
      <c r="BQ35" s="319">
        <f t="shared" si="115"/>
        <v>0.99749101765650083</v>
      </c>
      <c r="BR35" s="319">
        <f t="shared" si="116"/>
        <v>0.99749101765650083</v>
      </c>
      <c r="BS35" s="319"/>
      <c r="BT35" s="319"/>
      <c r="BU35" s="319"/>
      <c r="BV35" s="320"/>
    </row>
    <row r="36" spans="1:74" ht="20.100000000000001" customHeight="1">
      <c r="A36" s="316" t="s">
        <v>66</v>
      </c>
      <c r="B36" s="317" t="s">
        <v>476</v>
      </c>
      <c r="C36" s="318">
        <f t="shared" si="167"/>
        <v>2000</v>
      </c>
      <c r="D36" s="318">
        <f t="shared" si="168"/>
        <v>2000</v>
      </c>
      <c r="E36" s="318">
        <f t="shared" si="169"/>
        <v>0</v>
      </c>
      <c r="F36" s="318">
        <f t="shared" si="170"/>
        <v>0</v>
      </c>
      <c r="G36" s="318">
        <f t="shared" si="171"/>
        <v>0</v>
      </c>
      <c r="H36" s="318"/>
      <c r="I36" s="318"/>
      <c r="J36" s="318">
        <f t="shared" si="172"/>
        <v>0</v>
      </c>
      <c r="K36" s="318"/>
      <c r="L36" s="318"/>
      <c r="M36" s="318">
        <f t="shared" si="173"/>
        <v>0</v>
      </c>
      <c r="N36" s="318">
        <f t="shared" si="174"/>
        <v>0</v>
      </c>
      <c r="O36" s="318"/>
      <c r="P36" s="318"/>
      <c r="Q36" s="318">
        <f t="shared" si="175"/>
        <v>0</v>
      </c>
      <c r="R36" s="318"/>
      <c r="S36" s="318"/>
      <c r="T36" s="318">
        <f t="shared" si="176"/>
        <v>2000</v>
      </c>
      <c r="U36" s="318">
        <f t="shared" si="177"/>
        <v>2000</v>
      </c>
      <c r="V36" s="318">
        <v>2000</v>
      </c>
      <c r="W36" s="318"/>
      <c r="X36" s="318">
        <f t="shared" si="178"/>
        <v>0</v>
      </c>
      <c r="Y36" s="318"/>
      <c r="Z36" s="318"/>
      <c r="AA36" s="318">
        <f t="shared" si="143"/>
        <v>3698.6280000000002</v>
      </c>
      <c r="AB36" s="318">
        <f t="shared" si="47"/>
        <v>3698.6280000000002</v>
      </c>
      <c r="AC36" s="318">
        <f t="shared" si="48"/>
        <v>0</v>
      </c>
      <c r="AD36" s="318">
        <f t="shared" si="179"/>
        <v>0</v>
      </c>
      <c r="AE36" s="318">
        <f t="shared" si="180"/>
        <v>0</v>
      </c>
      <c r="AF36" s="318"/>
      <c r="AG36" s="318"/>
      <c r="AH36" s="318">
        <f t="shared" si="181"/>
        <v>0</v>
      </c>
      <c r="AI36" s="318"/>
      <c r="AJ36" s="318"/>
      <c r="AK36" s="318">
        <f t="shared" si="182"/>
        <v>1702.3530000000001</v>
      </c>
      <c r="AL36" s="318">
        <f t="shared" si="183"/>
        <v>1702.3530000000001</v>
      </c>
      <c r="AM36" s="318">
        <v>1702.3530000000001</v>
      </c>
      <c r="AN36" s="318"/>
      <c r="AO36" s="318">
        <f t="shared" si="184"/>
        <v>0</v>
      </c>
      <c r="AP36" s="318"/>
      <c r="AQ36" s="318"/>
      <c r="AR36" s="318">
        <f t="shared" si="185"/>
        <v>1996.2750000000001</v>
      </c>
      <c r="AS36" s="318">
        <f t="shared" si="186"/>
        <v>1996.2750000000001</v>
      </c>
      <c r="AT36" s="318">
        <v>1996.2750000000001</v>
      </c>
      <c r="AU36" s="318"/>
      <c r="AV36" s="318">
        <f t="shared" si="187"/>
        <v>0</v>
      </c>
      <c r="AW36" s="318"/>
      <c r="AX36" s="318"/>
      <c r="AY36" s="319">
        <f t="shared" si="55"/>
        <v>1.8493140000000001</v>
      </c>
      <c r="AZ36" s="319">
        <f t="shared" si="56"/>
        <v>1.8493140000000001</v>
      </c>
      <c r="BA36" s="319"/>
      <c r="BB36" s="319"/>
      <c r="BC36" s="319"/>
      <c r="BD36" s="319"/>
      <c r="BE36" s="319"/>
      <c r="BF36" s="319"/>
      <c r="BG36" s="319"/>
      <c r="BH36" s="319"/>
      <c r="BI36" s="319"/>
      <c r="BJ36" s="319"/>
      <c r="BK36" s="319"/>
      <c r="BL36" s="319"/>
      <c r="BM36" s="319"/>
      <c r="BN36" s="319"/>
      <c r="BO36" s="319"/>
      <c r="BP36" s="319">
        <f t="shared" si="64"/>
        <v>0.99813750000000001</v>
      </c>
      <c r="BQ36" s="319">
        <f t="shared" si="115"/>
        <v>0.99813750000000001</v>
      </c>
      <c r="BR36" s="319">
        <f t="shared" si="116"/>
        <v>0.99813750000000001</v>
      </c>
      <c r="BS36" s="319"/>
      <c r="BT36" s="319"/>
      <c r="BU36" s="319"/>
      <c r="BV36" s="320"/>
    </row>
    <row r="37" spans="1:74" ht="20.100000000000001" customHeight="1">
      <c r="A37" s="316" t="s">
        <v>67</v>
      </c>
      <c r="B37" s="317" t="s">
        <v>477</v>
      </c>
      <c r="C37" s="318">
        <f t="shared" si="22"/>
        <v>4878</v>
      </c>
      <c r="D37" s="318">
        <f t="shared" si="36"/>
        <v>4878</v>
      </c>
      <c r="E37" s="318">
        <f t="shared" si="37"/>
        <v>0</v>
      </c>
      <c r="F37" s="318">
        <f t="shared" si="38"/>
        <v>0</v>
      </c>
      <c r="G37" s="318">
        <f t="shared" si="39"/>
        <v>0</v>
      </c>
      <c r="H37" s="318"/>
      <c r="I37" s="318"/>
      <c r="J37" s="318">
        <f t="shared" si="40"/>
        <v>0</v>
      </c>
      <c r="K37" s="318"/>
      <c r="L37" s="318"/>
      <c r="M37" s="318">
        <f t="shared" si="41"/>
        <v>0</v>
      </c>
      <c r="N37" s="318">
        <f t="shared" si="42"/>
        <v>0</v>
      </c>
      <c r="O37" s="318"/>
      <c r="P37" s="318"/>
      <c r="Q37" s="318">
        <f t="shared" si="43"/>
        <v>0</v>
      </c>
      <c r="R37" s="318"/>
      <c r="S37" s="318"/>
      <c r="T37" s="318">
        <f t="shared" si="44"/>
        <v>4878</v>
      </c>
      <c r="U37" s="318">
        <f t="shared" si="45"/>
        <v>4878</v>
      </c>
      <c r="V37" s="318">
        <f>6718-1840</f>
        <v>4878</v>
      </c>
      <c r="W37" s="318"/>
      <c r="X37" s="318">
        <f t="shared" si="46"/>
        <v>0</v>
      </c>
      <c r="Y37" s="318"/>
      <c r="Z37" s="318"/>
      <c r="AA37" s="318">
        <f t="shared" si="143"/>
        <v>6074.9362350000001</v>
      </c>
      <c r="AB37" s="318">
        <f t="shared" si="47"/>
        <v>6074.9362350000001</v>
      </c>
      <c r="AC37" s="318">
        <f t="shared" si="48"/>
        <v>0</v>
      </c>
      <c r="AD37" s="318">
        <f t="shared" si="49"/>
        <v>0</v>
      </c>
      <c r="AE37" s="318">
        <f t="shared" si="50"/>
        <v>0</v>
      </c>
      <c r="AF37" s="318"/>
      <c r="AG37" s="318"/>
      <c r="AH37" s="318">
        <f t="shared" si="51"/>
        <v>0</v>
      </c>
      <c r="AI37" s="318"/>
      <c r="AJ37" s="318"/>
      <c r="AK37" s="318">
        <f t="shared" si="52"/>
        <v>5.8</v>
      </c>
      <c r="AL37" s="318">
        <f t="shared" si="53"/>
        <v>5.8</v>
      </c>
      <c r="AM37" s="318">
        <v>5.8</v>
      </c>
      <c r="AN37" s="318"/>
      <c r="AO37" s="318">
        <f t="shared" si="54"/>
        <v>0</v>
      </c>
      <c r="AP37" s="318"/>
      <c r="AQ37" s="318"/>
      <c r="AR37" s="318">
        <f t="shared" si="33"/>
        <v>6069.1362349999999</v>
      </c>
      <c r="AS37" s="318">
        <f t="shared" si="34"/>
        <v>6069.1362349999999</v>
      </c>
      <c r="AT37" s="318">
        <v>6069.1362349999999</v>
      </c>
      <c r="AU37" s="318"/>
      <c r="AV37" s="318">
        <f t="shared" si="35"/>
        <v>0</v>
      </c>
      <c r="AW37" s="318"/>
      <c r="AX37" s="318"/>
      <c r="AY37" s="319">
        <f t="shared" si="55"/>
        <v>1.2453743819188192</v>
      </c>
      <c r="AZ37" s="319">
        <f t="shared" si="56"/>
        <v>1.2453743819188192</v>
      </c>
      <c r="BA37" s="319"/>
      <c r="BB37" s="319"/>
      <c r="BC37" s="319"/>
      <c r="BD37" s="319"/>
      <c r="BE37" s="319"/>
      <c r="BF37" s="319"/>
      <c r="BG37" s="319"/>
      <c r="BH37" s="319"/>
      <c r="BI37" s="319"/>
      <c r="BJ37" s="319"/>
      <c r="BK37" s="319"/>
      <c r="BL37" s="319"/>
      <c r="BM37" s="319"/>
      <c r="BN37" s="319"/>
      <c r="BO37" s="319"/>
      <c r="BP37" s="319">
        <f t="shared" si="64"/>
        <v>1.2441853700287002</v>
      </c>
      <c r="BQ37" s="319">
        <f t="shared" si="115"/>
        <v>1.2441853700287002</v>
      </c>
      <c r="BR37" s="319">
        <f t="shared" si="116"/>
        <v>1.2441853700287002</v>
      </c>
      <c r="BS37" s="319"/>
      <c r="BT37" s="319"/>
      <c r="BU37" s="319"/>
      <c r="BV37" s="320"/>
    </row>
    <row r="38" spans="1:74" ht="20.100000000000001" customHeight="1">
      <c r="A38" s="316" t="s">
        <v>68</v>
      </c>
      <c r="B38" s="317" t="s">
        <v>478</v>
      </c>
      <c r="C38" s="318">
        <f t="shared" si="22"/>
        <v>2500</v>
      </c>
      <c r="D38" s="318">
        <f t="shared" si="36"/>
        <v>2500</v>
      </c>
      <c r="E38" s="318">
        <f t="shared" si="37"/>
        <v>0</v>
      </c>
      <c r="F38" s="318">
        <f t="shared" si="23"/>
        <v>0</v>
      </c>
      <c r="G38" s="318">
        <f t="shared" si="24"/>
        <v>0</v>
      </c>
      <c r="H38" s="318"/>
      <c r="I38" s="318"/>
      <c r="J38" s="318">
        <f t="shared" si="25"/>
        <v>0</v>
      </c>
      <c r="K38" s="318"/>
      <c r="L38" s="318"/>
      <c r="M38" s="318">
        <f t="shared" ref="M38" si="188">N38+Q38</f>
        <v>0</v>
      </c>
      <c r="N38" s="318">
        <f t="shared" ref="N38" si="189">O38+P38</f>
        <v>0</v>
      </c>
      <c r="O38" s="318"/>
      <c r="P38" s="318"/>
      <c r="Q38" s="318">
        <f t="shared" ref="Q38" si="190">R38+S38</f>
        <v>0</v>
      </c>
      <c r="R38" s="318"/>
      <c r="S38" s="318"/>
      <c r="T38" s="318">
        <f t="shared" ref="T38" si="191">U38+X38</f>
        <v>2500</v>
      </c>
      <c r="U38" s="318">
        <f t="shared" ref="U38" si="192">V38+W38</f>
        <v>2500</v>
      </c>
      <c r="V38" s="318">
        <v>2500</v>
      </c>
      <c r="W38" s="318"/>
      <c r="X38" s="318">
        <f t="shared" ref="X38" si="193">Y38+Z38</f>
        <v>0</v>
      </c>
      <c r="Y38" s="318"/>
      <c r="Z38" s="318"/>
      <c r="AA38" s="318">
        <f t="shared" si="143"/>
        <v>2408.3933179999999</v>
      </c>
      <c r="AB38" s="318">
        <f t="shared" si="47"/>
        <v>2408.3933179999999</v>
      </c>
      <c r="AC38" s="318">
        <f t="shared" si="48"/>
        <v>0</v>
      </c>
      <c r="AD38" s="318">
        <f t="shared" si="27"/>
        <v>0</v>
      </c>
      <c r="AE38" s="318">
        <f t="shared" si="28"/>
        <v>0</v>
      </c>
      <c r="AF38" s="318"/>
      <c r="AG38" s="318"/>
      <c r="AH38" s="318">
        <f t="shared" si="29"/>
        <v>0</v>
      </c>
      <c r="AI38" s="318"/>
      <c r="AJ38" s="318"/>
      <c r="AK38" s="318">
        <f t="shared" si="30"/>
        <v>1516.6849999999999</v>
      </c>
      <c r="AL38" s="318">
        <f t="shared" si="31"/>
        <v>1516.6849999999999</v>
      </c>
      <c r="AM38" s="318">
        <v>1516.6849999999999</v>
      </c>
      <c r="AN38" s="318"/>
      <c r="AO38" s="318">
        <f t="shared" si="32"/>
        <v>0</v>
      </c>
      <c r="AP38" s="318"/>
      <c r="AQ38" s="318"/>
      <c r="AR38" s="318">
        <f t="shared" si="33"/>
        <v>891.70831799999996</v>
      </c>
      <c r="AS38" s="318">
        <f t="shared" si="34"/>
        <v>891.70831799999996</v>
      </c>
      <c r="AT38" s="318">
        <v>891.70831799999996</v>
      </c>
      <c r="AU38" s="318"/>
      <c r="AV38" s="318">
        <f t="shared" si="35"/>
        <v>0</v>
      </c>
      <c r="AW38" s="318"/>
      <c r="AX38" s="318"/>
      <c r="AY38" s="319">
        <f t="shared" si="55"/>
        <v>0.9633573272</v>
      </c>
      <c r="AZ38" s="319">
        <f t="shared" si="56"/>
        <v>0.9633573272</v>
      </c>
      <c r="BA38" s="319"/>
      <c r="BB38" s="319"/>
      <c r="BC38" s="319"/>
      <c r="BD38" s="319"/>
      <c r="BE38" s="319"/>
      <c r="BF38" s="319"/>
      <c r="BG38" s="319"/>
      <c r="BH38" s="319"/>
      <c r="BI38" s="319"/>
      <c r="BJ38" s="319"/>
      <c r="BK38" s="319"/>
      <c r="BL38" s="319"/>
      <c r="BM38" s="319"/>
      <c r="BN38" s="319"/>
      <c r="BO38" s="319"/>
      <c r="BP38" s="319">
        <f t="shared" si="64"/>
        <v>0.35668332720000001</v>
      </c>
      <c r="BQ38" s="319">
        <f t="shared" si="115"/>
        <v>0.35668332720000001</v>
      </c>
      <c r="BR38" s="319">
        <f t="shared" si="116"/>
        <v>0.35668332720000001</v>
      </c>
      <c r="BS38" s="319"/>
      <c r="BT38" s="319"/>
      <c r="BU38" s="319"/>
      <c r="BV38" s="320"/>
    </row>
    <row r="39" spans="1:74" s="102" customFormat="1" ht="21.95" customHeight="1">
      <c r="A39" s="310" t="s">
        <v>16</v>
      </c>
      <c r="B39" s="315" t="s">
        <v>55</v>
      </c>
      <c r="C39" s="312">
        <f t="shared" ref="C39:AA39" si="194">SUM(C40:C53)</f>
        <v>36707</v>
      </c>
      <c r="D39" s="312">
        <f t="shared" si="194"/>
        <v>2207</v>
      </c>
      <c r="E39" s="312">
        <f t="shared" si="194"/>
        <v>34500</v>
      </c>
      <c r="F39" s="312">
        <f t="shared" si="194"/>
        <v>6050.0000000000009</v>
      </c>
      <c r="G39" s="312">
        <f t="shared" si="194"/>
        <v>0</v>
      </c>
      <c r="H39" s="312">
        <f t="shared" si="194"/>
        <v>0</v>
      </c>
      <c r="I39" s="312">
        <f t="shared" si="194"/>
        <v>0</v>
      </c>
      <c r="J39" s="312">
        <f t="shared" si="194"/>
        <v>6050.0000000000009</v>
      </c>
      <c r="K39" s="312">
        <f t="shared" si="194"/>
        <v>6050.0000000000009</v>
      </c>
      <c r="L39" s="312">
        <f t="shared" si="194"/>
        <v>0</v>
      </c>
      <c r="M39" s="312">
        <f t="shared" si="194"/>
        <v>2052</v>
      </c>
      <c r="N39" s="312">
        <f t="shared" si="194"/>
        <v>0</v>
      </c>
      <c r="O39" s="312">
        <f t="shared" si="194"/>
        <v>0</v>
      </c>
      <c r="P39" s="312">
        <f t="shared" si="194"/>
        <v>0</v>
      </c>
      <c r="Q39" s="312">
        <f t="shared" si="194"/>
        <v>2052</v>
      </c>
      <c r="R39" s="312">
        <f t="shared" si="194"/>
        <v>2052</v>
      </c>
      <c r="S39" s="312">
        <f t="shared" si="194"/>
        <v>0</v>
      </c>
      <c r="T39" s="312">
        <f t="shared" si="194"/>
        <v>28605</v>
      </c>
      <c r="U39" s="312">
        <f t="shared" si="194"/>
        <v>2207</v>
      </c>
      <c r="V39" s="312">
        <f t="shared" si="194"/>
        <v>2207</v>
      </c>
      <c r="W39" s="312">
        <f t="shared" si="194"/>
        <v>0</v>
      </c>
      <c r="X39" s="312">
        <f t="shared" si="194"/>
        <v>26397.999999999996</v>
      </c>
      <c r="Y39" s="312">
        <f t="shared" si="194"/>
        <v>26397.999999999996</v>
      </c>
      <c r="Z39" s="312">
        <f t="shared" si="194"/>
        <v>0</v>
      </c>
      <c r="AA39" s="312">
        <f t="shared" si="194"/>
        <v>18382.861065000001</v>
      </c>
      <c r="AB39" s="312">
        <f t="shared" ref="AB39:AC39" si="195">SUM(AB40:AB53)</f>
        <v>212.01849999999999</v>
      </c>
      <c r="AC39" s="312">
        <f t="shared" si="195"/>
        <v>18170.842564999999</v>
      </c>
      <c r="AD39" s="312">
        <f t="shared" ref="AD39" si="196">SUM(AD40:AD53)</f>
        <v>3917.47597</v>
      </c>
      <c r="AE39" s="312">
        <f t="shared" ref="AE39:AX39" si="197">SUM(AE40:AE53)</f>
        <v>0</v>
      </c>
      <c r="AF39" s="312">
        <f t="shared" si="197"/>
        <v>0</v>
      </c>
      <c r="AG39" s="312">
        <f t="shared" si="197"/>
        <v>0</v>
      </c>
      <c r="AH39" s="312">
        <f t="shared" si="197"/>
        <v>3917.47597</v>
      </c>
      <c r="AI39" s="312">
        <f t="shared" si="197"/>
        <v>3917.47597</v>
      </c>
      <c r="AJ39" s="312">
        <f t="shared" si="197"/>
        <v>0</v>
      </c>
      <c r="AK39" s="312">
        <f t="shared" si="197"/>
        <v>1882.8603909999999</v>
      </c>
      <c r="AL39" s="312">
        <f t="shared" si="197"/>
        <v>0</v>
      </c>
      <c r="AM39" s="312">
        <f t="shared" si="197"/>
        <v>0</v>
      </c>
      <c r="AN39" s="312">
        <f t="shared" si="197"/>
        <v>0</v>
      </c>
      <c r="AO39" s="312">
        <f t="shared" si="197"/>
        <v>1882.8603909999999</v>
      </c>
      <c r="AP39" s="312">
        <f t="shared" si="197"/>
        <v>1882.8603909999999</v>
      </c>
      <c r="AQ39" s="312">
        <f t="shared" si="197"/>
        <v>0</v>
      </c>
      <c r="AR39" s="312">
        <f t="shared" si="197"/>
        <v>12582.524703999998</v>
      </c>
      <c r="AS39" s="312">
        <f t="shared" si="197"/>
        <v>212.01849999999999</v>
      </c>
      <c r="AT39" s="312">
        <f t="shared" si="197"/>
        <v>212.01849999999999</v>
      </c>
      <c r="AU39" s="312">
        <f t="shared" si="197"/>
        <v>0</v>
      </c>
      <c r="AV39" s="312">
        <f t="shared" si="197"/>
        <v>12370.506203999998</v>
      </c>
      <c r="AW39" s="312">
        <f t="shared" si="197"/>
        <v>12370.506203999998</v>
      </c>
      <c r="AX39" s="312">
        <f t="shared" si="197"/>
        <v>0</v>
      </c>
      <c r="AY39" s="313">
        <f t="shared" si="55"/>
        <v>0.5007998764540823</v>
      </c>
      <c r="AZ39" s="313">
        <f t="shared" si="56"/>
        <v>9.6066379700951512E-2</v>
      </c>
      <c r="BA39" s="313">
        <f t="shared" si="57"/>
        <v>0.52669108884057969</v>
      </c>
      <c r="BB39" s="313">
        <f t="shared" si="60"/>
        <v>0.64751668925619821</v>
      </c>
      <c r="BC39" s="313"/>
      <c r="BD39" s="313"/>
      <c r="BE39" s="313"/>
      <c r="BF39" s="313">
        <f t="shared" si="67"/>
        <v>0.64751668925619821</v>
      </c>
      <c r="BG39" s="313">
        <f t="shared" si="68"/>
        <v>0.64751668925619821</v>
      </c>
      <c r="BH39" s="313"/>
      <c r="BI39" s="313">
        <f t="shared" si="63"/>
        <v>0.91757328996101362</v>
      </c>
      <c r="BJ39" s="313"/>
      <c r="BK39" s="313"/>
      <c r="BL39" s="313"/>
      <c r="BM39" s="313">
        <f t="shared" si="88"/>
        <v>0.91757328996101362</v>
      </c>
      <c r="BN39" s="313">
        <f t="shared" si="89"/>
        <v>0.91757328996101362</v>
      </c>
      <c r="BO39" s="313"/>
      <c r="BP39" s="313">
        <f t="shared" ref="BP39:BP51" si="198">AR39/T39</f>
        <v>0.43987151560915916</v>
      </c>
      <c r="BQ39" s="313">
        <f t="shared" ref="BQ39:BQ51" si="199">AS39/U39</f>
        <v>9.6066379700951512E-2</v>
      </c>
      <c r="BR39" s="313">
        <f t="shared" ref="BR39:BR51" si="200">AT39/V39</f>
        <v>9.6066379700951512E-2</v>
      </c>
      <c r="BS39" s="313"/>
      <c r="BT39" s="313">
        <f t="shared" si="65"/>
        <v>0.46861528161224331</v>
      </c>
      <c r="BU39" s="313">
        <f t="shared" si="66"/>
        <v>0.46861528161224331</v>
      </c>
      <c r="BV39" s="314"/>
    </row>
    <row r="40" spans="1:74" ht="20.100000000000001" customHeight="1">
      <c r="A40" s="316" t="s">
        <v>10</v>
      </c>
      <c r="B40" s="317" t="s">
        <v>467</v>
      </c>
      <c r="C40" s="318">
        <f t="shared" ref="C40:C51" si="201">D40+E40</f>
        <v>4208.51</v>
      </c>
      <c r="D40" s="318">
        <f t="shared" ref="D40:D51" si="202">G40+N40+U40</f>
        <v>132.51</v>
      </c>
      <c r="E40" s="318">
        <f t="shared" ref="E40:E51" si="203">J40+Q40+X40</f>
        <v>4076</v>
      </c>
      <c r="F40" s="318">
        <f t="shared" ref="F40:F51" si="204">G40+J40</f>
        <v>404.8</v>
      </c>
      <c r="G40" s="318">
        <f t="shared" ref="G40:G51" si="205">H40+I40</f>
        <v>0</v>
      </c>
      <c r="H40" s="318"/>
      <c r="I40" s="318"/>
      <c r="J40" s="318">
        <f t="shared" ref="J40:J51" si="206">K40+L40</f>
        <v>404.8</v>
      </c>
      <c r="K40" s="318">
        <f>368+36.8</f>
        <v>404.8</v>
      </c>
      <c r="L40" s="318"/>
      <c r="M40" s="318">
        <f t="shared" ref="M40:M51" si="207">N40+Q40</f>
        <v>0</v>
      </c>
      <c r="N40" s="318">
        <f t="shared" ref="N40:N51" si="208">O40+P40</f>
        <v>0</v>
      </c>
      <c r="O40" s="318"/>
      <c r="P40" s="318"/>
      <c r="Q40" s="318">
        <f t="shared" ref="Q40:Q51" si="209">R40+S40</f>
        <v>0</v>
      </c>
      <c r="R40" s="318"/>
      <c r="S40" s="318"/>
      <c r="T40" s="318">
        <f t="shared" ref="T40:T51" si="210">U40+X40</f>
        <v>3803.71</v>
      </c>
      <c r="U40" s="318">
        <f t="shared" ref="U40:U51" si="211">V40+W40</f>
        <v>132.51</v>
      </c>
      <c r="V40" s="318">
        <v>132.51</v>
      </c>
      <c r="W40" s="318"/>
      <c r="X40" s="318">
        <f t="shared" ref="X40:X51" si="212">Y40+Z40</f>
        <v>3671.2</v>
      </c>
      <c r="Y40" s="318">
        <f>2864+107.2+700</f>
        <v>3671.2</v>
      </c>
      <c r="Z40" s="318"/>
      <c r="AA40" s="318">
        <f>AB40+AC40</f>
        <v>1732.6369999999999</v>
      </c>
      <c r="AB40" s="318">
        <f t="shared" si="47"/>
        <v>0</v>
      </c>
      <c r="AC40" s="318">
        <f t="shared" si="48"/>
        <v>1732.6369999999999</v>
      </c>
      <c r="AD40" s="318">
        <f t="shared" ref="AD40:AD51" si="213">AE40+AH40</f>
        <v>160.54650000000001</v>
      </c>
      <c r="AE40" s="318">
        <f t="shared" ref="AE40:AE51" si="214">AF40+AG40</f>
        <v>0</v>
      </c>
      <c r="AF40" s="318"/>
      <c r="AG40" s="318"/>
      <c r="AH40" s="318">
        <f t="shared" ref="AH40:AH51" si="215">AI40+AJ40</f>
        <v>160.54650000000001</v>
      </c>
      <c r="AI40" s="318">
        <v>160.54650000000001</v>
      </c>
      <c r="AJ40" s="318"/>
      <c r="AK40" s="318">
        <f t="shared" ref="AK40:AK51" si="216">AL40+AO40</f>
        <v>0</v>
      </c>
      <c r="AL40" s="318">
        <f t="shared" ref="AL40:AL51" si="217">AM40+AN40</f>
        <v>0</v>
      </c>
      <c r="AM40" s="318"/>
      <c r="AN40" s="318"/>
      <c r="AO40" s="318">
        <f t="shared" ref="AO40:AO51" si="218">AP40+AQ40</f>
        <v>0</v>
      </c>
      <c r="AP40" s="318"/>
      <c r="AQ40" s="318"/>
      <c r="AR40" s="318">
        <f t="shared" ref="AR40:AR51" si="219">AS40+AV40</f>
        <v>1572.0905</v>
      </c>
      <c r="AS40" s="318">
        <f t="shared" ref="AS40:AS51" si="220">AT40+AU40</f>
        <v>0</v>
      </c>
      <c r="AT40" s="318"/>
      <c r="AU40" s="318"/>
      <c r="AV40" s="318">
        <f t="shared" ref="AV40:AV51" si="221">AW40+AX40</f>
        <v>1572.0905</v>
      </c>
      <c r="AW40" s="318">
        <v>1572.0905</v>
      </c>
      <c r="AX40" s="318"/>
      <c r="AY40" s="319">
        <f t="shared" si="55"/>
        <v>0.41169843959025876</v>
      </c>
      <c r="AZ40" s="319">
        <f t="shared" si="56"/>
        <v>0</v>
      </c>
      <c r="BA40" s="319">
        <f t="shared" si="57"/>
        <v>0.42508267909715408</v>
      </c>
      <c r="BB40" s="319">
        <f t="shared" si="60"/>
        <v>0.39660696640316206</v>
      </c>
      <c r="BC40" s="319"/>
      <c r="BD40" s="319"/>
      <c r="BE40" s="319"/>
      <c r="BF40" s="319">
        <f t="shared" si="67"/>
        <v>0.39660696640316206</v>
      </c>
      <c r="BG40" s="319">
        <f t="shared" si="68"/>
        <v>0.39660696640316206</v>
      </c>
      <c r="BH40" s="319"/>
      <c r="BI40" s="319"/>
      <c r="BJ40" s="319"/>
      <c r="BK40" s="319"/>
      <c r="BL40" s="319"/>
      <c r="BM40" s="319"/>
      <c r="BN40" s="319"/>
      <c r="BO40" s="319"/>
      <c r="BP40" s="319">
        <f t="shared" si="198"/>
        <v>0.41330451059623369</v>
      </c>
      <c r="BQ40" s="319">
        <f t="shared" si="199"/>
        <v>0</v>
      </c>
      <c r="BR40" s="319">
        <f t="shared" si="200"/>
        <v>0</v>
      </c>
      <c r="BS40" s="319"/>
      <c r="BT40" s="319">
        <f t="shared" si="65"/>
        <v>0.42822251579864895</v>
      </c>
      <c r="BU40" s="319">
        <f t="shared" si="66"/>
        <v>0.42822251579864895</v>
      </c>
      <c r="BV40" s="320"/>
    </row>
    <row r="41" spans="1:74" ht="20.100000000000001" customHeight="1">
      <c r="A41" s="316" t="s">
        <v>18</v>
      </c>
      <c r="B41" s="317" t="s">
        <v>468</v>
      </c>
      <c r="C41" s="318">
        <f t="shared" si="201"/>
        <v>1765.23</v>
      </c>
      <c r="D41" s="318">
        <f t="shared" si="202"/>
        <v>33.130000000000003</v>
      </c>
      <c r="E41" s="318">
        <f t="shared" si="203"/>
        <v>1732.1</v>
      </c>
      <c r="F41" s="318">
        <f t="shared" si="204"/>
        <v>731.5</v>
      </c>
      <c r="G41" s="318">
        <f t="shared" si="205"/>
        <v>0</v>
      </c>
      <c r="H41" s="318"/>
      <c r="I41" s="318"/>
      <c r="J41" s="318">
        <f t="shared" si="206"/>
        <v>731.5</v>
      </c>
      <c r="K41" s="318">
        <f>665+66.5</f>
        <v>731.5</v>
      </c>
      <c r="L41" s="318"/>
      <c r="M41" s="318">
        <f t="shared" si="207"/>
        <v>403</v>
      </c>
      <c r="N41" s="318">
        <f t="shared" si="208"/>
        <v>0</v>
      </c>
      <c r="O41" s="318"/>
      <c r="P41" s="318"/>
      <c r="Q41" s="318">
        <f t="shared" si="209"/>
        <v>403</v>
      </c>
      <c r="R41" s="318">
        <f>235+168</f>
        <v>403</v>
      </c>
      <c r="S41" s="318"/>
      <c r="T41" s="318">
        <f t="shared" si="210"/>
        <v>630.73</v>
      </c>
      <c r="U41" s="318">
        <f t="shared" si="211"/>
        <v>33.130000000000003</v>
      </c>
      <c r="V41" s="318">
        <v>33.130000000000003</v>
      </c>
      <c r="W41" s="318"/>
      <c r="X41" s="318">
        <f t="shared" si="212"/>
        <v>597.6</v>
      </c>
      <c r="Y41" s="318">
        <f>575+22.6</f>
        <v>597.6</v>
      </c>
      <c r="Z41" s="318"/>
      <c r="AA41" s="318">
        <f t="shared" ref="AA41:AA51" si="222">AB41+AC41</f>
        <v>1125.97568</v>
      </c>
      <c r="AB41" s="318">
        <f t="shared" si="47"/>
        <v>33.130000000000003</v>
      </c>
      <c r="AC41" s="318">
        <f t="shared" si="48"/>
        <v>1092.8456799999999</v>
      </c>
      <c r="AD41" s="318">
        <f t="shared" si="213"/>
        <v>506.83800000000002</v>
      </c>
      <c r="AE41" s="318">
        <f t="shared" si="214"/>
        <v>0</v>
      </c>
      <c r="AF41" s="318"/>
      <c r="AG41" s="318"/>
      <c r="AH41" s="318">
        <f t="shared" si="215"/>
        <v>506.83800000000002</v>
      </c>
      <c r="AI41" s="318">
        <v>506.83800000000002</v>
      </c>
      <c r="AJ41" s="318"/>
      <c r="AK41" s="318">
        <f t="shared" si="216"/>
        <v>327.10768000000002</v>
      </c>
      <c r="AL41" s="318">
        <f t="shared" si="217"/>
        <v>0</v>
      </c>
      <c r="AM41" s="318"/>
      <c r="AN41" s="318"/>
      <c r="AO41" s="318">
        <f t="shared" si="218"/>
        <v>327.10768000000002</v>
      </c>
      <c r="AP41" s="318">
        <v>327.10768000000002</v>
      </c>
      <c r="AQ41" s="318"/>
      <c r="AR41" s="318">
        <f t="shared" si="219"/>
        <v>292.02999999999997</v>
      </c>
      <c r="AS41" s="318">
        <f t="shared" si="220"/>
        <v>33.130000000000003</v>
      </c>
      <c r="AT41" s="318">
        <v>33.130000000000003</v>
      </c>
      <c r="AU41" s="318"/>
      <c r="AV41" s="318">
        <f t="shared" si="221"/>
        <v>258.89999999999998</v>
      </c>
      <c r="AW41" s="318">
        <v>258.89999999999998</v>
      </c>
      <c r="AX41" s="318"/>
      <c r="AY41" s="319">
        <f t="shared" si="55"/>
        <v>0.63786343989168548</v>
      </c>
      <c r="AZ41" s="319">
        <f t="shared" si="56"/>
        <v>1</v>
      </c>
      <c r="BA41" s="319">
        <f t="shared" si="57"/>
        <v>0.63093682812770624</v>
      </c>
      <c r="BB41" s="319">
        <f t="shared" si="60"/>
        <v>0.69287491455912509</v>
      </c>
      <c r="BC41" s="319"/>
      <c r="BD41" s="319"/>
      <c r="BE41" s="319"/>
      <c r="BF41" s="319">
        <f t="shared" si="67"/>
        <v>0.69287491455912509</v>
      </c>
      <c r="BG41" s="319">
        <f t="shared" si="68"/>
        <v>0.69287491455912509</v>
      </c>
      <c r="BH41" s="319"/>
      <c r="BI41" s="319">
        <f t="shared" si="63"/>
        <v>0.81168158808933011</v>
      </c>
      <c r="BJ41" s="319"/>
      <c r="BK41" s="319"/>
      <c r="BL41" s="319"/>
      <c r="BM41" s="319">
        <f t="shared" si="88"/>
        <v>0.81168158808933011</v>
      </c>
      <c r="BN41" s="319">
        <f t="shared" si="89"/>
        <v>0.81168158808933011</v>
      </c>
      <c r="BO41" s="319"/>
      <c r="BP41" s="319">
        <f t="shared" si="198"/>
        <v>0.46300318678356817</v>
      </c>
      <c r="BQ41" s="319">
        <f t="shared" si="199"/>
        <v>1</v>
      </c>
      <c r="BR41" s="319">
        <f t="shared" si="200"/>
        <v>1</v>
      </c>
      <c r="BS41" s="319"/>
      <c r="BT41" s="319">
        <f t="shared" si="65"/>
        <v>0.43323293172690758</v>
      </c>
      <c r="BU41" s="319">
        <f t="shared" si="66"/>
        <v>0.43323293172690758</v>
      </c>
      <c r="BV41" s="320"/>
    </row>
    <row r="42" spans="1:74" ht="20.100000000000001" customHeight="1">
      <c r="A42" s="316" t="s">
        <v>27</v>
      </c>
      <c r="B42" s="317" t="s">
        <v>469</v>
      </c>
      <c r="C42" s="318">
        <f t="shared" si="201"/>
        <v>1843.4</v>
      </c>
      <c r="D42" s="318">
        <f t="shared" si="202"/>
        <v>0</v>
      </c>
      <c r="E42" s="318">
        <f t="shared" si="203"/>
        <v>1843.4</v>
      </c>
      <c r="F42" s="318">
        <f t="shared" si="204"/>
        <v>446.6</v>
      </c>
      <c r="G42" s="318">
        <f t="shared" si="205"/>
        <v>0</v>
      </c>
      <c r="H42" s="318"/>
      <c r="I42" s="318"/>
      <c r="J42" s="318">
        <f t="shared" si="206"/>
        <v>446.6</v>
      </c>
      <c r="K42" s="318">
        <f>406+40.6</f>
        <v>446.6</v>
      </c>
      <c r="L42" s="318"/>
      <c r="M42" s="318">
        <f t="shared" si="207"/>
        <v>145</v>
      </c>
      <c r="N42" s="318">
        <f t="shared" si="208"/>
        <v>0</v>
      </c>
      <c r="O42" s="318"/>
      <c r="P42" s="318"/>
      <c r="Q42" s="318">
        <f t="shared" si="209"/>
        <v>145</v>
      </c>
      <c r="R42" s="318">
        <f>85+60</f>
        <v>145</v>
      </c>
      <c r="S42" s="318"/>
      <c r="T42" s="318">
        <f t="shared" si="210"/>
        <v>1251.8</v>
      </c>
      <c r="U42" s="318">
        <f t="shared" si="211"/>
        <v>0</v>
      </c>
      <c r="V42" s="318"/>
      <c r="W42" s="318"/>
      <c r="X42" s="318">
        <f t="shared" si="212"/>
        <v>1251.8</v>
      </c>
      <c r="Y42" s="318">
        <f>1204+47.8</f>
        <v>1251.8</v>
      </c>
      <c r="Z42" s="318"/>
      <c r="AA42" s="318">
        <f t="shared" si="222"/>
        <v>1118.070614</v>
      </c>
      <c r="AB42" s="318">
        <f t="shared" si="47"/>
        <v>0</v>
      </c>
      <c r="AC42" s="318">
        <f t="shared" si="48"/>
        <v>1118.070614</v>
      </c>
      <c r="AD42" s="318">
        <f t="shared" si="213"/>
        <v>437.59</v>
      </c>
      <c r="AE42" s="318">
        <f t="shared" si="214"/>
        <v>0</v>
      </c>
      <c r="AF42" s="318"/>
      <c r="AG42" s="318"/>
      <c r="AH42" s="318">
        <f t="shared" si="215"/>
        <v>437.59</v>
      </c>
      <c r="AI42" s="318">
        <v>437.59</v>
      </c>
      <c r="AJ42" s="318"/>
      <c r="AK42" s="318">
        <f t="shared" si="216"/>
        <v>153.214214</v>
      </c>
      <c r="AL42" s="318">
        <f t="shared" si="217"/>
        <v>0</v>
      </c>
      <c r="AM42" s="318"/>
      <c r="AN42" s="318"/>
      <c r="AO42" s="318">
        <f t="shared" si="218"/>
        <v>153.214214</v>
      </c>
      <c r="AP42" s="318">
        <v>153.214214</v>
      </c>
      <c r="AQ42" s="318"/>
      <c r="AR42" s="318">
        <f t="shared" si="219"/>
        <v>527.26639999999998</v>
      </c>
      <c r="AS42" s="318">
        <f t="shared" si="220"/>
        <v>0</v>
      </c>
      <c r="AT42" s="318"/>
      <c r="AU42" s="318"/>
      <c r="AV42" s="318">
        <f t="shared" si="221"/>
        <v>527.26639999999998</v>
      </c>
      <c r="AW42" s="318">
        <v>527.26639999999998</v>
      </c>
      <c r="AX42" s="318"/>
      <c r="AY42" s="319">
        <f t="shared" si="55"/>
        <v>0.60652631767386345</v>
      </c>
      <c r="AZ42" s="319"/>
      <c r="BA42" s="319">
        <f t="shared" si="57"/>
        <v>0.60652631767386345</v>
      </c>
      <c r="BB42" s="319">
        <f t="shared" si="60"/>
        <v>0.9798253470667263</v>
      </c>
      <c r="BC42" s="319"/>
      <c r="BD42" s="319"/>
      <c r="BE42" s="319"/>
      <c r="BF42" s="319">
        <f t="shared" si="67"/>
        <v>0.9798253470667263</v>
      </c>
      <c r="BG42" s="319">
        <f t="shared" si="68"/>
        <v>0.9798253470667263</v>
      </c>
      <c r="BH42" s="319"/>
      <c r="BI42" s="319">
        <f t="shared" si="63"/>
        <v>1.056649751724138</v>
      </c>
      <c r="BJ42" s="319"/>
      <c r="BK42" s="319"/>
      <c r="BL42" s="319"/>
      <c r="BM42" s="319">
        <f t="shared" si="88"/>
        <v>1.056649751724138</v>
      </c>
      <c r="BN42" s="319">
        <f t="shared" si="89"/>
        <v>1.056649751724138</v>
      </c>
      <c r="BO42" s="319"/>
      <c r="BP42" s="319">
        <f t="shared" si="198"/>
        <v>0.42120658252116949</v>
      </c>
      <c r="BQ42" s="319"/>
      <c r="BR42" s="319"/>
      <c r="BS42" s="319"/>
      <c r="BT42" s="319">
        <f t="shared" si="65"/>
        <v>0.42120658252116949</v>
      </c>
      <c r="BU42" s="319">
        <f t="shared" si="66"/>
        <v>0.42120658252116949</v>
      </c>
      <c r="BV42" s="320"/>
    </row>
    <row r="43" spans="1:74" ht="20.100000000000001" customHeight="1">
      <c r="A43" s="316" t="s">
        <v>28</v>
      </c>
      <c r="B43" s="317" t="s">
        <v>470</v>
      </c>
      <c r="C43" s="318">
        <f t="shared" si="201"/>
        <v>936.5</v>
      </c>
      <c r="D43" s="318">
        <f t="shared" si="202"/>
        <v>0</v>
      </c>
      <c r="E43" s="318">
        <f t="shared" si="203"/>
        <v>936.5</v>
      </c>
      <c r="F43" s="318">
        <f t="shared" si="204"/>
        <v>786.5</v>
      </c>
      <c r="G43" s="318">
        <f t="shared" si="205"/>
        <v>0</v>
      </c>
      <c r="H43" s="318"/>
      <c r="I43" s="318"/>
      <c r="J43" s="318">
        <f t="shared" si="206"/>
        <v>786.5</v>
      </c>
      <c r="K43" s="318">
        <f>715+71.5</f>
        <v>786.5</v>
      </c>
      <c r="L43" s="318"/>
      <c r="M43" s="318">
        <f t="shared" si="207"/>
        <v>145</v>
      </c>
      <c r="N43" s="318">
        <f t="shared" si="208"/>
        <v>0</v>
      </c>
      <c r="O43" s="318"/>
      <c r="P43" s="318"/>
      <c r="Q43" s="318">
        <f t="shared" si="209"/>
        <v>145</v>
      </c>
      <c r="R43" s="318">
        <f>85+60</f>
        <v>145</v>
      </c>
      <c r="S43" s="318"/>
      <c r="T43" s="318">
        <f t="shared" si="210"/>
        <v>5</v>
      </c>
      <c r="U43" s="318">
        <f t="shared" si="211"/>
        <v>0</v>
      </c>
      <c r="V43" s="318"/>
      <c r="W43" s="318"/>
      <c r="X43" s="318">
        <f t="shared" si="212"/>
        <v>5</v>
      </c>
      <c r="Y43" s="318">
        <v>5</v>
      </c>
      <c r="Z43" s="318"/>
      <c r="AA43" s="318">
        <f t="shared" si="222"/>
        <v>195.61</v>
      </c>
      <c r="AB43" s="318">
        <f t="shared" si="47"/>
        <v>0</v>
      </c>
      <c r="AC43" s="318">
        <f t="shared" si="48"/>
        <v>195.61</v>
      </c>
      <c r="AD43" s="318">
        <f t="shared" si="213"/>
        <v>77.61</v>
      </c>
      <c r="AE43" s="318">
        <f t="shared" si="214"/>
        <v>0</v>
      </c>
      <c r="AF43" s="318"/>
      <c r="AG43" s="318"/>
      <c r="AH43" s="318">
        <f t="shared" si="215"/>
        <v>77.61</v>
      </c>
      <c r="AI43" s="318">
        <v>77.61</v>
      </c>
      <c r="AJ43" s="318"/>
      <c r="AK43" s="318">
        <f t="shared" si="216"/>
        <v>118</v>
      </c>
      <c r="AL43" s="318">
        <f t="shared" si="217"/>
        <v>0</v>
      </c>
      <c r="AM43" s="318"/>
      <c r="AN43" s="318"/>
      <c r="AO43" s="318">
        <f t="shared" si="218"/>
        <v>118</v>
      </c>
      <c r="AP43" s="318">
        <v>118</v>
      </c>
      <c r="AQ43" s="318"/>
      <c r="AR43" s="318">
        <f t="shared" si="219"/>
        <v>0</v>
      </c>
      <c r="AS43" s="318">
        <f t="shared" si="220"/>
        <v>0</v>
      </c>
      <c r="AT43" s="318"/>
      <c r="AU43" s="318"/>
      <c r="AV43" s="318">
        <f t="shared" si="221"/>
        <v>0</v>
      </c>
      <c r="AW43" s="318"/>
      <c r="AX43" s="318"/>
      <c r="AY43" s="319">
        <f t="shared" si="55"/>
        <v>0.20887346502936466</v>
      </c>
      <c r="AZ43" s="319"/>
      <c r="BA43" s="319">
        <f t="shared" si="57"/>
        <v>0.20887346502936466</v>
      </c>
      <c r="BB43" s="319">
        <f t="shared" si="60"/>
        <v>9.8677685950413221E-2</v>
      </c>
      <c r="BC43" s="319"/>
      <c r="BD43" s="319"/>
      <c r="BE43" s="319"/>
      <c r="BF43" s="319">
        <f t="shared" si="67"/>
        <v>9.8677685950413221E-2</v>
      </c>
      <c r="BG43" s="319">
        <f t="shared" si="68"/>
        <v>9.8677685950413221E-2</v>
      </c>
      <c r="BH43" s="319"/>
      <c r="BI43" s="319">
        <f t="shared" si="63"/>
        <v>0.81379310344827582</v>
      </c>
      <c r="BJ43" s="319"/>
      <c r="BK43" s="319"/>
      <c r="BL43" s="319"/>
      <c r="BM43" s="319">
        <f t="shared" si="88"/>
        <v>0.81379310344827582</v>
      </c>
      <c r="BN43" s="319">
        <f t="shared" si="89"/>
        <v>0.81379310344827582</v>
      </c>
      <c r="BO43" s="319"/>
      <c r="BP43" s="319">
        <f t="shared" si="198"/>
        <v>0</v>
      </c>
      <c r="BQ43" s="319"/>
      <c r="BR43" s="319"/>
      <c r="BS43" s="319"/>
      <c r="BT43" s="319">
        <f t="shared" si="65"/>
        <v>0</v>
      </c>
      <c r="BU43" s="319">
        <f t="shared" si="66"/>
        <v>0</v>
      </c>
      <c r="BV43" s="320"/>
    </row>
    <row r="44" spans="1:74" ht="20.100000000000001" customHeight="1">
      <c r="A44" s="316" t="s">
        <v>29</v>
      </c>
      <c r="B44" s="317" t="s">
        <v>471</v>
      </c>
      <c r="C44" s="318">
        <f t="shared" si="201"/>
        <v>4609.21</v>
      </c>
      <c r="D44" s="318">
        <f t="shared" si="202"/>
        <v>132.51</v>
      </c>
      <c r="E44" s="318">
        <f t="shared" si="203"/>
        <v>4476.7</v>
      </c>
      <c r="F44" s="318">
        <f t="shared" si="204"/>
        <v>345.4</v>
      </c>
      <c r="G44" s="318">
        <f t="shared" si="205"/>
        <v>0</v>
      </c>
      <c r="H44" s="318"/>
      <c r="I44" s="318"/>
      <c r="J44" s="318">
        <f t="shared" si="206"/>
        <v>345.4</v>
      </c>
      <c r="K44" s="318">
        <f>314+31.4</f>
        <v>345.4</v>
      </c>
      <c r="L44" s="318"/>
      <c r="M44" s="318">
        <f t="shared" si="207"/>
        <v>219</v>
      </c>
      <c r="N44" s="318">
        <f t="shared" si="208"/>
        <v>0</v>
      </c>
      <c r="O44" s="318"/>
      <c r="P44" s="318"/>
      <c r="Q44" s="318">
        <f t="shared" si="209"/>
        <v>219</v>
      </c>
      <c r="R44" s="318">
        <f>128+91</f>
        <v>219</v>
      </c>
      <c r="S44" s="318"/>
      <c r="T44" s="318">
        <f t="shared" si="210"/>
        <v>4044.8100000000004</v>
      </c>
      <c r="U44" s="318">
        <f t="shared" si="211"/>
        <v>132.51</v>
      </c>
      <c r="V44" s="318">
        <v>132.51</v>
      </c>
      <c r="W44" s="318"/>
      <c r="X44" s="318">
        <f t="shared" si="212"/>
        <v>3912.3</v>
      </c>
      <c r="Y44" s="318">
        <f>3092+120.3+700</f>
        <v>3912.3</v>
      </c>
      <c r="Z44" s="318"/>
      <c r="AA44" s="318">
        <f t="shared" si="222"/>
        <v>3316.5205399999995</v>
      </c>
      <c r="AB44" s="318">
        <f t="shared" si="47"/>
        <v>46.378500000000003</v>
      </c>
      <c r="AC44" s="318">
        <f t="shared" si="48"/>
        <v>3270.1420399999997</v>
      </c>
      <c r="AD44" s="318">
        <f t="shared" si="213"/>
        <v>446.16559999999998</v>
      </c>
      <c r="AE44" s="318">
        <f t="shared" si="214"/>
        <v>0</v>
      </c>
      <c r="AF44" s="318"/>
      <c r="AG44" s="318"/>
      <c r="AH44" s="318">
        <f t="shared" si="215"/>
        <v>446.16559999999998</v>
      </c>
      <c r="AI44" s="318">
        <v>446.16559999999998</v>
      </c>
      <c r="AJ44" s="318"/>
      <c r="AK44" s="318">
        <f t="shared" si="216"/>
        <v>199.35159999999999</v>
      </c>
      <c r="AL44" s="318">
        <f t="shared" si="217"/>
        <v>0</v>
      </c>
      <c r="AM44" s="318"/>
      <c r="AN44" s="318"/>
      <c r="AO44" s="318">
        <f t="shared" si="218"/>
        <v>199.35159999999999</v>
      </c>
      <c r="AP44" s="318">
        <v>199.35159999999999</v>
      </c>
      <c r="AQ44" s="318"/>
      <c r="AR44" s="318">
        <f t="shared" si="219"/>
        <v>2671.0033399999998</v>
      </c>
      <c r="AS44" s="318">
        <f t="shared" si="220"/>
        <v>46.378500000000003</v>
      </c>
      <c r="AT44" s="318">
        <v>46.378500000000003</v>
      </c>
      <c r="AU44" s="318"/>
      <c r="AV44" s="318">
        <f t="shared" si="221"/>
        <v>2624.6248399999999</v>
      </c>
      <c r="AW44" s="318">
        <v>2624.6248399999999</v>
      </c>
      <c r="AX44" s="318"/>
      <c r="AY44" s="319">
        <f t="shared" si="55"/>
        <v>0.71954207770962908</v>
      </c>
      <c r="AZ44" s="319">
        <f t="shared" si="56"/>
        <v>0.35000000000000003</v>
      </c>
      <c r="BA44" s="319">
        <f t="shared" si="57"/>
        <v>0.73048049679451377</v>
      </c>
      <c r="BB44" s="319">
        <f t="shared" si="60"/>
        <v>1.2917359583092067</v>
      </c>
      <c r="BC44" s="319"/>
      <c r="BD44" s="319"/>
      <c r="BE44" s="319"/>
      <c r="BF44" s="319">
        <f t="shared" si="67"/>
        <v>1.2917359583092067</v>
      </c>
      <c r="BG44" s="319">
        <f t="shared" si="68"/>
        <v>1.2917359583092067</v>
      </c>
      <c r="BH44" s="319"/>
      <c r="BI44" s="319">
        <f t="shared" si="63"/>
        <v>0.91028127853881269</v>
      </c>
      <c r="BJ44" s="319"/>
      <c r="BK44" s="319"/>
      <c r="BL44" s="319"/>
      <c r="BM44" s="319">
        <f t="shared" si="88"/>
        <v>0.91028127853881269</v>
      </c>
      <c r="BN44" s="319">
        <f t="shared" si="89"/>
        <v>0.91028127853881269</v>
      </c>
      <c r="BO44" s="319"/>
      <c r="BP44" s="319">
        <f t="shared" si="198"/>
        <v>0.66035322796373608</v>
      </c>
      <c r="BQ44" s="319">
        <f t="shared" si="199"/>
        <v>0.35000000000000003</v>
      </c>
      <c r="BR44" s="319">
        <f t="shared" si="200"/>
        <v>0.35000000000000003</v>
      </c>
      <c r="BS44" s="319"/>
      <c r="BT44" s="319">
        <f t="shared" si="65"/>
        <v>0.6708649234465659</v>
      </c>
      <c r="BU44" s="319">
        <f t="shared" si="66"/>
        <v>0.6708649234465659</v>
      </c>
      <c r="BV44" s="320"/>
    </row>
    <row r="45" spans="1:74" ht="20.100000000000001" customHeight="1">
      <c r="A45" s="316" t="s">
        <v>30</v>
      </c>
      <c r="B45" s="317" t="s">
        <v>472</v>
      </c>
      <c r="C45" s="318">
        <f t="shared" si="201"/>
        <v>3575.1100000000006</v>
      </c>
      <c r="D45" s="318">
        <f t="shared" si="202"/>
        <v>132.51</v>
      </c>
      <c r="E45" s="318">
        <f t="shared" si="203"/>
        <v>3442.6000000000004</v>
      </c>
      <c r="F45" s="318">
        <f t="shared" si="204"/>
        <v>278.3</v>
      </c>
      <c r="G45" s="318">
        <f t="shared" si="205"/>
        <v>0</v>
      </c>
      <c r="H45" s="318"/>
      <c r="I45" s="318"/>
      <c r="J45" s="318">
        <f t="shared" si="206"/>
        <v>278.3</v>
      </c>
      <c r="K45" s="318">
        <f>253+25.3</f>
        <v>278.3</v>
      </c>
      <c r="L45" s="318"/>
      <c r="M45" s="318">
        <f t="shared" si="207"/>
        <v>133</v>
      </c>
      <c r="N45" s="318">
        <f t="shared" si="208"/>
        <v>0</v>
      </c>
      <c r="O45" s="318"/>
      <c r="P45" s="318"/>
      <c r="Q45" s="318">
        <f t="shared" si="209"/>
        <v>133</v>
      </c>
      <c r="R45" s="318">
        <f>78+55</f>
        <v>133</v>
      </c>
      <c r="S45" s="318"/>
      <c r="T45" s="318">
        <f t="shared" si="210"/>
        <v>3163.8100000000004</v>
      </c>
      <c r="U45" s="318">
        <f t="shared" si="211"/>
        <v>132.51</v>
      </c>
      <c r="V45" s="318">
        <v>132.51</v>
      </c>
      <c r="W45" s="318"/>
      <c r="X45" s="318">
        <f t="shared" si="212"/>
        <v>3031.3</v>
      </c>
      <c r="Y45" s="318">
        <f>2539+92.3+400</f>
        <v>3031.3</v>
      </c>
      <c r="Z45" s="318"/>
      <c r="AA45" s="318">
        <f t="shared" si="222"/>
        <v>1364.8874999999998</v>
      </c>
      <c r="AB45" s="318">
        <f t="shared" si="47"/>
        <v>0</v>
      </c>
      <c r="AC45" s="318">
        <f t="shared" si="48"/>
        <v>1364.8874999999998</v>
      </c>
      <c r="AD45" s="318">
        <f t="shared" si="213"/>
        <v>356.95</v>
      </c>
      <c r="AE45" s="318">
        <f t="shared" si="214"/>
        <v>0</v>
      </c>
      <c r="AF45" s="318"/>
      <c r="AG45" s="318"/>
      <c r="AH45" s="318">
        <f t="shared" si="215"/>
        <v>356.95</v>
      </c>
      <c r="AI45" s="318">
        <v>356.95</v>
      </c>
      <c r="AJ45" s="318"/>
      <c r="AK45" s="318">
        <f t="shared" si="216"/>
        <v>129.12299999999999</v>
      </c>
      <c r="AL45" s="318">
        <f t="shared" si="217"/>
        <v>0</v>
      </c>
      <c r="AM45" s="318"/>
      <c r="AN45" s="318"/>
      <c r="AO45" s="318">
        <f t="shared" si="218"/>
        <v>129.12299999999999</v>
      </c>
      <c r="AP45" s="318">
        <v>129.12299999999999</v>
      </c>
      <c r="AQ45" s="318"/>
      <c r="AR45" s="318">
        <f t="shared" si="219"/>
        <v>878.81449999999995</v>
      </c>
      <c r="AS45" s="318">
        <f t="shared" si="220"/>
        <v>0</v>
      </c>
      <c r="AT45" s="318"/>
      <c r="AU45" s="318"/>
      <c r="AV45" s="318">
        <f t="shared" si="221"/>
        <v>878.81449999999995</v>
      </c>
      <c r="AW45" s="318">
        <v>878.81449999999995</v>
      </c>
      <c r="AX45" s="318"/>
      <c r="AY45" s="319">
        <f t="shared" si="55"/>
        <v>0.38177496636467118</v>
      </c>
      <c r="AZ45" s="319">
        <f t="shared" si="56"/>
        <v>0</v>
      </c>
      <c r="BA45" s="319">
        <f t="shared" si="57"/>
        <v>0.39646996456166839</v>
      </c>
      <c r="BB45" s="319">
        <f t="shared" si="60"/>
        <v>1.2826086956521738</v>
      </c>
      <c r="BC45" s="319"/>
      <c r="BD45" s="319"/>
      <c r="BE45" s="319"/>
      <c r="BF45" s="319">
        <f t="shared" si="67"/>
        <v>1.2826086956521738</v>
      </c>
      <c r="BG45" s="319">
        <f t="shared" si="68"/>
        <v>1.2826086956521738</v>
      </c>
      <c r="BH45" s="319"/>
      <c r="BI45" s="319">
        <f t="shared" si="63"/>
        <v>0.9708496240601503</v>
      </c>
      <c r="BJ45" s="319"/>
      <c r="BK45" s="319"/>
      <c r="BL45" s="319"/>
      <c r="BM45" s="319">
        <f t="shared" si="88"/>
        <v>0.9708496240601503</v>
      </c>
      <c r="BN45" s="319">
        <f t="shared" si="89"/>
        <v>0.9708496240601503</v>
      </c>
      <c r="BO45" s="319"/>
      <c r="BP45" s="319">
        <f t="shared" si="198"/>
        <v>0.27777094705434263</v>
      </c>
      <c r="BQ45" s="319">
        <f t="shared" si="199"/>
        <v>0</v>
      </c>
      <c r="BR45" s="319">
        <f t="shared" si="200"/>
        <v>0</v>
      </c>
      <c r="BS45" s="319"/>
      <c r="BT45" s="319">
        <f t="shared" si="65"/>
        <v>0.28991340349025169</v>
      </c>
      <c r="BU45" s="319">
        <f t="shared" si="66"/>
        <v>0.28991340349025169</v>
      </c>
      <c r="BV45" s="320"/>
    </row>
    <row r="46" spans="1:74" ht="20.100000000000001" customHeight="1">
      <c r="A46" s="316" t="s">
        <v>31</v>
      </c>
      <c r="B46" s="317" t="s">
        <v>473</v>
      </c>
      <c r="C46" s="318">
        <f t="shared" si="201"/>
        <v>2687.01</v>
      </c>
      <c r="D46" s="318">
        <f t="shared" si="202"/>
        <v>219.01</v>
      </c>
      <c r="E46" s="318">
        <f t="shared" si="203"/>
        <v>2468</v>
      </c>
      <c r="F46" s="318">
        <f t="shared" si="204"/>
        <v>359.7</v>
      </c>
      <c r="G46" s="318">
        <f t="shared" si="205"/>
        <v>0</v>
      </c>
      <c r="H46" s="318"/>
      <c r="I46" s="318"/>
      <c r="J46" s="318">
        <f t="shared" si="206"/>
        <v>359.7</v>
      </c>
      <c r="K46" s="318">
        <f>327+32.7</f>
        <v>359.7</v>
      </c>
      <c r="L46" s="318"/>
      <c r="M46" s="318">
        <f t="shared" si="207"/>
        <v>196</v>
      </c>
      <c r="N46" s="318">
        <f t="shared" si="208"/>
        <v>0</v>
      </c>
      <c r="O46" s="318"/>
      <c r="P46" s="318"/>
      <c r="Q46" s="318">
        <f t="shared" si="209"/>
        <v>196</v>
      </c>
      <c r="R46" s="318">
        <f>115+81</f>
        <v>196</v>
      </c>
      <c r="S46" s="318"/>
      <c r="T46" s="318">
        <f t="shared" si="210"/>
        <v>2131.31</v>
      </c>
      <c r="U46" s="318">
        <f t="shared" si="211"/>
        <v>219.01</v>
      </c>
      <c r="V46" s="318">
        <v>219.01</v>
      </c>
      <c r="W46" s="318"/>
      <c r="X46" s="318">
        <f t="shared" si="212"/>
        <v>1912.3</v>
      </c>
      <c r="Y46" s="318">
        <f>1950+79.3-416-17+316</f>
        <v>1912.3</v>
      </c>
      <c r="Z46" s="318"/>
      <c r="AA46" s="318">
        <f t="shared" si="222"/>
        <v>1767.291414</v>
      </c>
      <c r="AB46" s="318">
        <f t="shared" si="47"/>
        <v>132.51</v>
      </c>
      <c r="AC46" s="318">
        <f t="shared" si="48"/>
        <v>1634.781414</v>
      </c>
      <c r="AD46" s="318">
        <f t="shared" si="213"/>
        <v>135.34253000000001</v>
      </c>
      <c r="AE46" s="318">
        <f t="shared" si="214"/>
        <v>0</v>
      </c>
      <c r="AF46" s="318"/>
      <c r="AG46" s="318"/>
      <c r="AH46" s="318">
        <f t="shared" si="215"/>
        <v>135.34253000000001</v>
      </c>
      <c r="AI46" s="318">
        <v>135.34253000000001</v>
      </c>
      <c r="AJ46" s="318"/>
      <c r="AK46" s="318">
        <f t="shared" si="216"/>
        <v>195.94399999999999</v>
      </c>
      <c r="AL46" s="318">
        <f t="shared" si="217"/>
        <v>0</v>
      </c>
      <c r="AM46" s="318"/>
      <c r="AN46" s="318"/>
      <c r="AO46" s="318">
        <f t="shared" si="218"/>
        <v>195.94399999999999</v>
      </c>
      <c r="AP46" s="318">
        <v>195.94399999999999</v>
      </c>
      <c r="AQ46" s="318"/>
      <c r="AR46" s="318">
        <f t="shared" si="219"/>
        <v>1436.0048839999999</v>
      </c>
      <c r="AS46" s="318">
        <f t="shared" si="220"/>
        <v>132.51</v>
      </c>
      <c r="AT46" s="318">
        <v>132.51</v>
      </c>
      <c r="AU46" s="318"/>
      <c r="AV46" s="318">
        <f t="shared" si="221"/>
        <v>1303.494884</v>
      </c>
      <c r="AW46" s="318">
        <v>1303.494884</v>
      </c>
      <c r="AX46" s="318"/>
      <c r="AY46" s="319">
        <f t="shared" si="55"/>
        <v>0.65771672379336132</v>
      </c>
      <c r="AZ46" s="319">
        <f t="shared" si="56"/>
        <v>0.60504086571389437</v>
      </c>
      <c r="BA46" s="319">
        <f t="shared" si="57"/>
        <v>0.66239117260940039</v>
      </c>
      <c r="BB46" s="319">
        <f t="shared" si="60"/>
        <v>0.37626502641089798</v>
      </c>
      <c r="BC46" s="319"/>
      <c r="BD46" s="319"/>
      <c r="BE46" s="319"/>
      <c r="BF46" s="319">
        <f t="shared" si="67"/>
        <v>0.37626502641089798</v>
      </c>
      <c r="BG46" s="319">
        <f t="shared" si="68"/>
        <v>0.37626502641089798</v>
      </c>
      <c r="BH46" s="319"/>
      <c r="BI46" s="319">
        <f t="shared" si="63"/>
        <v>0.99971428571428567</v>
      </c>
      <c r="BJ46" s="319"/>
      <c r="BK46" s="319"/>
      <c r="BL46" s="319"/>
      <c r="BM46" s="319">
        <f t="shared" si="88"/>
        <v>0.99971428571428567</v>
      </c>
      <c r="BN46" s="319">
        <f t="shared" si="89"/>
        <v>0.99971428571428567</v>
      </c>
      <c r="BO46" s="319"/>
      <c r="BP46" s="319">
        <f t="shared" si="198"/>
        <v>0.6737663146140167</v>
      </c>
      <c r="BQ46" s="319">
        <f t="shared" si="199"/>
        <v>0.60504086571389437</v>
      </c>
      <c r="BR46" s="319">
        <f t="shared" si="200"/>
        <v>0.60504086571389437</v>
      </c>
      <c r="BS46" s="319"/>
      <c r="BT46" s="319">
        <f t="shared" si="65"/>
        <v>0.68163723474350257</v>
      </c>
      <c r="BU46" s="319">
        <f t="shared" si="66"/>
        <v>0.68163723474350257</v>
      </c>
      <c r="BV46" s="320"/>
    </row>
    <row r="47" spans="1:74" ht="20.100000000000001" customHeight="1">
      <c r="A47" s="316" t="s">
        <v>32</v>
      </c>
      <c r="B47" s="317" t="s">
        <v>474</v>
      </c>
      <c r="C47" s="318">
        <f t="shared" si="201"/>
        <v>3078.51</v>
      </c>
      <c r="D47" s="318">
        <f t="shared" si="202"/>
        <v>132.51</v>
      </c>
      <c r="E47" s="318">
        <f t="shared" si="203"/>
        <v>2946</v>
      </c>
      <c r="F47" s="318">
        <f t="shared" si="204"/>
        <v>744.7</v>
      </c>
      <c r="G47" s="318">
        <f t="shared" si="205"/>
        <v>0</v>
      </c>
      <c r="H47" s="318"/>
      <c r="I47" s="318"/>
      <c r="J47" s="318">
        <f t="shared" si="206"/>
        <v>744.7</v>
      </c>
      <c r="K47" s="318">
        <f>677+67.7</f>
        <v>744.7</v>
      </c>
      <c r="L47" s="318"/>
      <c r="M47" s="318">
        <f t="shared" si="207"/>
        <v>133</v>
      </c>
      <c r="N47" s="318">
        <f t="shared" si="208"/>
        <v>0</v>
      </c>
      <c r="O47" s="318"/>
      <c r="P47" s="318"/>
      <c r="Q47" s="318">
        <f t="shared" si="209"/>
        <v>133</v>
      </c>
      <c r="R47" s="318">
        <f>78+55</f>
        <v>133</v>
      </c>
      <c r="S47" s="318"/>
      <c r="T47" s="318">
        <f t="shared" si="210"/>
        <v>2200.8100000000004</v>
      </c>
      <c r="U47" s="318">
        <f t="shared" si="211"/>
        <v>132.51</v>
      </c>
      <c r="V47" s="318">
        <v>132.51</v>
      </c>
      <c r="W47" s="318"/>
      <c r="X47" s="318">
        <f t="shared" si="212"/>
        <v>2068.3000000000002</v>
      </c>
      <c r="Y47" s="318">
        <f>1898+83.3-300-13+400</f>
        <v>2068.3000000000002</v>
      </c>
      <c r="Z47" s="318"/>
      <c r="AA47" s="318">
        <f t="shared" si="222"/>
        <v>1241.7853399999999</v>
      </c>
      <c r="AB47" s="318">
        <f t="shared" si="47"/>
        <v>0</v>
      </c>
      <c r="AC47" s="318">
        <f t="shared" si="48"/>
        <v>1241.7853399999999</v>
      </c>
      <c r="AD47" s="318">
        <f t="shared" si="213"/>
        <v>471.58233999999999</v>
      </c>
      <c r="AE47" s="318">
        <f t="shared" si="214"/>
        <v>0</v>
      </c>
      <c r="AF47" s="318"/>
      <c r="AG47" s="318"/>
      <c r="AH47" s="318">
        <f t="shared" si="215"/>
        <v>471.58233999999999</v>
      </c>
      <c r="AI47" s="318">
        <v>471.58233999999999</v>
      </c>
      <c r="AJ47" s="318"/>
      <c r="AK47" s="318">
        <f t="shared" si="216"/>
        <v>163</v>
      </c>
      <c r="AL47" s="318">
        <f t="shared" si="217"/>
        <v>0</v>
      </c>
      <c r="AM47" s="318"/>
      <c r="AN47" s="318"/>
      <c r="AO47" s="318">
        <f t="shared" si="218"/>
        <v>163</v>
      </c>
      <c r="AP47" s="318">
        <v>163</v>
      </c>
      <c r="AQ47" s="318"/>
      <c r="AR47" s="318">
        <f t="shared" si="219"/>
        <v>607.20299999999997</v>
      </c>
      <c r="AS47" s="318">
        <f t="shared" si="220"/>
        <v>0</v>
      </c>
      <c r="AT47" s="318"/>
      <c r="AU47" s="318"/>
      <c r="AV47" s="318">
        <f t="shared" si="221"/>
        <v>607.20299999999997</v>
      </c>
      <c r="AW47" s="318">
        <v>607.20299999999997</v>
      </c>
      <c r="AX47" s="318"/>
      <c r="AY47" s="319">
        <f t="shared" si="55"/>
        <v>0.40337219628976351</v>
      </c>
      <c r="AZ47" s="319">
        <f t="shared" si="56"/>
        <v>0</v>
      </c>
      <c r="BA47" s="319">
        <f t="shared" si="57"/>
        <v>0.42151572980312285</v>
      </c>
      <c r="BB47" s="319">
        <f t="shared" si="60"/>
        <v>0.63325143010608298</v>
      </c>
      <c r="BC47" s="319"/>
      <c r="BD47" s="319"/>
      <c r="BE47" s="319"/>
      <c r="BF47" s="319">
        <f t="shared" si="67"/>
        <v>0.63325143010608298</v>
      </c>
      <c r="BG47" s="319">
        <f t="shared" si="68"/>
        <v>0.63325143010608298</v>
      </c>
      <c r="BH47" s="319"/>
      <c r="BI47" s="319">
        <f t="shared" si="63"/>
        <v>1.2255639097744362</v>
      </c>
      <c r="BJ47" s="319"/>
      <c r="BK47" s="319"/>
      <c r="BL47" s="319"/>
      <c r="BM47" s="319">
        <f t="shared" si="88"/>
        <v>1.2255639097744362</v>
      </c>
      <c r="BN47" s="319">
        <f t="shared" si="89"/>
        <v>1.2255639097744362</v>
      </c>
      <c r="BO47" s="319"/>
      <c r="BP47" s="319">
        <f t="shared" si="198"/>
        <v>0.27589978235286094</v>
      </c>
      <c r="BQ47" s="319">
        <f t="shared" si="199"/>
        <v>0</v>
      </c>
      <c r="BR47" s="319">
        <f t="shared" si="200"/>
        <v>0</v>
      </c>
      <c r="BS47" s="319"/>
      <c r="BT47" s="319">
        <f t="shared" si="65"/>
        <v>0.29357588357588354</v>
      </c>
      <c r="BU47" s="319">
        <f t="shared" si="66"/>
        <v>0.29357588357588354</v>
      </c>
      <c r="BV47" s="320"/>
    </row>
    <row r="48" spans="1:74" ht="20.100000000000001" customHeight="1">
      <c r="A48" s="316" t="s">
        <v>33</v>
      </c>
      <c r="B48" s="317" t="s">
        <v>475</v>
      </c>
      <c r="C48" s="318">
        <f t="shared" si="201"/>
        <v>4114.41</v>
      </c>
      <c r="D48" s="318">
        <f t="shared" si="202"/>
        <v>148.51</v>
      </c>
      <c r="E48" s="318">
        <f t="shared" si="203"/>
        <v>3965.9</v>
      </c>
      <c r="F48" s="318">
        <f t="shared" si="204"/>
        <v>391.6</v>
      </c>
      <c r="G48" s="318">
        <f t="shared" si="205"/>
        <v>0</v>
      </c>
      <c r="H48" s="318"/>
      <c r="I48" s="318"/>
      <c r="J48" s="318">
        <f t="shared" si="206"/>
        <v>391.6</v>
      </c>
      <c r="K48" s="318">
        <f>356+35.6</f>
        <v>391.6</v>
      </c>
      <c r="L48" s="318"/>
      <c r="M48" s="318">
        <f t="shared" si="207"/>
        <v>266</v>
      </c>
      <c r="N48" s="318">
        <f t="shared" si="208"/>
        <v>0</v>
      </c>
      <c r="O48" s="318"/>
      <c r="P48" s="318"/>
      <c r="Q48" s="318">
        <f t="shared" si="209"/>
        <v>266</v>
      </c>
      <c r="R48" s="318">
        <f>155+111</f>
        <v>266</v>
      </c>
      <c r="S48" s="318"/>
      <c r="T48" s="318">
        <f t="shared" si="210"/>
        <v>3456.8100000000004</v>
      </c>
      <c r="U48" s="318">
        <f t="shared" si="211"/>
        <v>148.51</v>
      </c>
      <c r="V48" s="318">
        <v>148.51</v>
      </c>
      <c r="W48" s="318"/>
      <c r="X48" s="318">
        <f t="shared" si="212"/>
        <v>3308.3</v>
      </c>
      <c r="Y48" s="318">
        <f>2872+107.3-357-14+700</f>
        <v>3308.3</v>
      </c>
      <c r="Z48" s="318"/>
      <c r="AA48" s="318">
        <f t="shared" si="222"/>
        <v>2382.7080000000001</v>
      </c>
      <c r="AB48" s="318">
        <f t="shared" si="47"/>
        <v>0</v>
      </c>
      <c r="AC48" s="318">
        <f t="shared" si="48"/>
        <v>2382.7080000000001</v>
      </c>
      <c r="AD48" s="318">
        <f t="shared" si="213"/>
        <v>145.04599999999999</v>
      </c>
      <c r="AE48" s="318">
        <f t="shared" si="214"/>
        <v>0</v>
      </c>
      <c r="AF48" s="318"/>
      <c r="AG48" s="318"/>
      <c r="AH48" s="318">
        <f t="shared" si="215"/>
        <v>145.04599999999999</v>
      </c>
      <c r="AI48" s="318">
        <v>145.04599999999999</v>
      </c>
      <c r="AJ48" s="318"/>
      <c r="AK48" s="318">
        <f t="shared" si="216"/>
        <v>276</v>
      </c>
      <c r="AL48" s="318">
        <f t="shared" si="217"/>
        <v>0</v>
      </c>
      <c r="AM48" s="318"/>
      <c r="AN48" s="318"/>
      <c r="AO48" s="318">
        <f t="shared" si="218"/>
        <v>276</v>
      </c>
      <c r="AP48" s="318">
        <v>276</v>
      </c>
      <c r="AQ48" s="318"/>
      <c r="AR48" s="318">
        <f t="shared" si="219"/>
        <v>1961.662</v>
      </c>
      <c r="AS48" s="318">
        <f t="shared" si="220"/>
        <v>0</v>
      </c>
      <c r="AT48" s="318"/>
      <c r="AU48" s="318"/>
      <c r="AV48" s="318">
        <f t="shared" si="221"/>
        <v>1961.662</v>
      </c>
      <c r="AW48" s="318">
        <v>1961.662</v>
      </c>
      <c r="AX48" s="318"/>
      <c r="AY48" s="319">
        <f t="shared" si="55"/>
        <v>0.57911292263046221</v>
      </c>
      <c r="AZ48" s="319">
        <f t="shared" si="56"/>
        <v>0</v>
      </c>
      <c r="BA48" s="319">
        <f t="shared" si="57"/>
        <v>0.60079880985400536</v>
      </c>
      <c r="BB48" s="319">
        <f t="shared" si="60"/>
        <v>0.37039325842696624</v>
      </c>
      <c r="BC48" s="319"/>
      <c r="BD48" s="319"/>
      <c r="BE48" s="319"/>
      <c r="BF48" s="319">
        <f t="shared" si="67"/>
        <v>0.37039325842696624</v>
      </c>
      <c r="BG48" s="319">
        <f t="shared" si="68"/>
        <v>0.37039325842696624</v>
      </c>
      <c r="BH48" s="319"/>
      <c r="BI48" s="319">
        <f t="shared" si="63"/>
        <v>1.0375939849624061</v>
      </c>
      <c r="BJ48" s="319"/>
      <c r="BK48" s="319"/>
      <c r="BL48" s="319"/>
      <c r="BM48" s="319">
        <f t="shared" si="88"/>
        <v>1.0375939849624061</v>
      </c>
      <c r="BN48" s="319">
        <f t="shared" si="89"/>
        <v>1.0375939849624061</v>
      </c>
      <c r="BO48" s="319"/>
      <c r="BP48" s="319">
        <f t="shared" si="198"/>
        <v>0.56747752986134614</v>
      </c>
      <c r="BQ48" s="319">
        <f t="shared" si="199"/>
        <v>0</v>
      </c>
      <c r="BR48" s="319">
        <f t="shared" si="200"/>
        <v>0</v>
      </c>
      <c r="BS48" s="319"/>
      <c r="BT48" s="319">
        <f t="shared" si="65"/>
        <v>0.59295166701931501</v>
      </c>
      <c r="BU48" s="319">
        <f t="shared" si="66"/>
        <v>0.59295166701931501</v>
      </c>
      <c r="BV48" s="320"/>
    </row>
    <row r="49" spans="1:75" ht="20.100000000000001" customHeight="1">
      <c r="A49" s="316" t="s">
        <v>34</v>
      </c>
      <c r="B49" s="317" t="s">
        <v>476</v>
      </c>
      <c r="C49" s="318">
        <f t="shared" si="201"/>
        <v>2890.2700000000004</v>
      </c>
      <c r="D49" s="318">
        <f t="shared" si="202"/>
        <v>312.67</v>
      </c>
      <c r="E49" s="318">
        <f t="shared" si="203"/>
        <v>2577.6000000000004</v>
      </c>
      <c r="F49" s="318">
        <f t="shared" si="204"/>
        <v>322.3</v>
      </c>
      <c r="G49" s="318">
        <f t="shared" si="205"/>
        <v>0</v>
      </c>
      <c r="H49" s="318"/>
      <c r="I49" s="318"/>
      <c r="J49" s="318">
        <f t="shared" si="206"/>
        <v>322.3</v>
      </c>
      <c r="K49" s="318">
        <f>293+29.3</f>
        <v>322.3</v>
      </c>
      <c r="L49" s="318"/>
      <c r="M49" s="318">
        <f t="shared" si="207"/>
        <v>127</v>
      </c>
      <c r="N49" s="318">
        <f t="shared" si="208"/>
        <v>0</v>
      </c>
      <c r="O49" s="318"/>
      <c r="P49" s="318"/>
      <c r="Q49" s="318">
        <f t="shared" si="209"/>
        <v>127</v>
      </c>
      <c r="R49" s="318">
        <f>75+52</f>
        <v>127</v>
      </c>
      <c r="S49" s="318"/>
      <c r="T49" s="318">
        <f t="shared" si="210"/>
        <v>2440.9700000000003</v>
      </c>
      <c r="U49" s="318">
        <f t="shared" si="211"/>
        <v>312.67</v>
      </c>
      <c r="V49" s="318">
        <v>312.67</v>
      </c>
      <c r="W49" s="318"/>
      <c r="X49" s="318">
        <f t="shared" si="212"/>
        <v>2128.3000000000002</v>
      </c>
      <c r="Y49" s="318">
        <f>2098+90.3-538-22+500</f>
        <v>2128.3000000000002</v>
      </c>
      <c r="Z49" s="318"/>
      <c r="AA49" s="318">
        <f t="shared" si="222"/>
        <v>913.16747999999995</v>
      </c>
      <c r="AB49" s="318">
        <f t="shared" si="47"/>
        <v>0</v>
      </c>
      <c r="AC49" s="318">
        <f t="shared" si="48"/>
        <v>913.16747999999995</v>
      </c>
      <c r="AD49" s="318">
        <f t="shared" si="213"/>
        <v>92.14</v>
      </c>
      <c r="AE49" s="318">
        <f t="shared" si="214"/>
        <v>0</v>
      </c>
      <c r="AF49" s="318"/>
      <c r="AG49" s="318"/>
      <c r="AH49" s="318">
        <f t="shared" si="215"/>
        <v>92.14</v>
      </c>
      <c r="AI49" s="318">
        <v>92.14</v>
      </c>
      <c r="AJ49" s="318"/>
      <c r="AK49" s="318">
        <f t="shared" si="216"/>
        <v>78.12</v>
      </c>
      <c r="AL49" s="318">
        <f t="shared" si="217"/>
        <v>0</v>
      </c>
      <c r="AM49" s="318"/>
      <c r="AN49" s="318"/>
      <c r="AO49" s="318">
        <f t="shared" si="218"/>
        <v>78.12</v>
      </c>
      <c r="AP49" s="318">
        <v>78.12</v>
      </c>
      <c r="AQ49" s="318"/>
      <c r="AR49" s="318">
        <f t="shared" si="219"/>
        <v>742.90747999999996</v>
      </c>
      <c r="AS49" s="318">
        <f t="shared" si="220"/>
        <v>0</v>
      </c>
      <c r="AT49" s="318"/>
      <c r="AU49" s="318"/>
      <c r="AV49" s="318">
        <f t="shared" si="221"/>
        <v>742.90747999999996</v>
      </c>
      <c r="AW49" s="318">
        <v>742.90747999999996</v>
      </c>
      <c r="AX49" s="318"/>
      <c r="AY49" s="319">
        <f t="shared" si="55"/>
        <v>0.31594538918509335</v>
      </c>
      <c r="AZ49" s="319">
        <f t="shared" si="56"/>
        <v>0</v>
      </c>
      <c r="BA49" s="319">
        <f t="shared" si="57"/>
        <v>0.35427043761638727</v>
      </c>
      <c r="BB49" s="319">
        <f t="shared" si="60"/>
        <v>0.28588271796462922</v>
      </c>
      <c r="BC49" s="319"/>
      <c r="BD49" s="319"/>
      <c r="BE49" s="319"/>
      <c r="BF49" s="319">
        <f t="shared" si="67"/>
        <v>0.28588271796462922</v>
      </c>
      <c r="BG49" s="319">
        <f t="shared" si="68"/>
        <v>0.28588271796462922</v>
      </c>
      <c r="BH49" s="319"/>
      <c r="BI49" s="319">
        <f t="shared" si="63"/>
        <v>0.61511811023622054</v>
      </c>
      <c r="BJ49" s="319"/>
      <c r="BK49" s="319"/>
      <c r="BL49" s="319"/>
      <c r="BM49" s="319">
        <f t="shared" si="88"/>
        <v>0.61511811023622054</v>
      </c>
      <c r="BN49" s="319">
        <f t="shared" si="89"/>
        <v>0.61511811023622054</v>
      </c>
      <c r="BO49" s="319"/>
      <c r="BP49" s="319">
        <f t="shared" si="198"/>
        <v>0.30434928737346212</v>
      </c>
      <c r="BQ49" s="319">
        <f t="shared" si="199"/>
        <v>0</v>
      </c>
      <c r="BR49" s="319">
        <f t="shared" si="200"/>
        <v>0</v>
      </c>
      <c r="BS49" s="319"/>
      <c r="BT49" s="319">
        <f t="shared" si="65"/>
        <v>0.3490614481041206</v>
      </c>
      <c r="BU49" s="319">
        <f t="shared" si="66"/>
        <v>0.3490614481041206</v>
      </c>
      <c r="BV49" s="320"/>
    </row>
    <row r="50" spans="1:75" ht="20.100000000000001" customHeight="1">
      <c r="A50" s="316" t="s">
        <v>35</v>
      </c>
      <c r="B50" s="317" t="s">
        <v>477</v>
      </c>
      <c r="C50" s="318">
        <f t="shared" si="201"/>
        <v>3807.4200000000005</v>
      </c>
      <c r="D50" s="318">
        <f t="shared" si="202"/>
        <v>567.82000000000005</v>
      </c>
      <c r="E50" s="318">
        <f t="shared" si="203"/>
        <v>3239.6000000000004</v>
      </c>
      <c r="F50" s="318">
        <f t="shared" si="204"/>
        <v>784.3</v>
      </c>
      <c r="G50" s="318">
        <f t="shared" si="205"/>
        <v>0</v>
      </c>
      <c r="H50" s="318"/>
      <c r="I50" s="318"/>
      <c r="J50" s="318">
        <f t="shared" si="206"/>
        <v>784.3</v>
      </c>
      <c r="K50" s="318">
        <f>713+71.3</f>
        <v>784.3</v>
      </c>
      <c r="L50" s="318"/>
      <c r="M50" s="318">
        <f t="shared" si="207"/>
        <v>142</v>
      </c>
      <c r="N50" s="318">
        <f t="shared" si="208"/>
        <v>0</v>
      </c>
      <c r="O50" s="318"/>
      <c r="P50" s="318"/>
      <c r="Q50" s="318">
        <f t="shared" si="209"/>
        <v>142</v>
      </c>
      <c r="R50" s="318">
        <f>83+59</f>
        <v>142</v>
      </c>
      <c r="S50" s="318"/>
      <c r="T50" s="318">
        <f t="shared" si="210"/>
        <v>2881.1200000000003</v>
      </c>
      <c r="U50" s="318">
        <f t="shared" si="211"/>
        <v>567.82000000000005</v>
      </c>
      <c r="V50" s="318">
        <v>567.82000000000005</v>
      </c>
      <c r="W50" s="318"/>
      <c r="X50" s="318">
        <f t="shared" si="212"/>
        <v>2313.3000000000002</v>
      </c>
      <c r="Y50" s="318">
        <f>2430+105.3-550-22+350</f>
        <v>2313.3000000000002</v>
      </c>
      <c r="Z50" s="318"/>
      <c r="AA50" s="318">
        <f t="shared" si="222"/>
        <v>2230.485897</v>
      </c>
      <c r="AB50" s="318">
        <f t="shared" si="47"/>
        <v>0</v>
      </c>
      <c r="AC50" s="318">
        <f t="shared" si="48"/>
        <v>2230.485897</v>
      </c>
      <c r="AD50" s="318">
        <f t="shared" si="213"/>
        <v>674.452</v>
      </c>
      <c r="AE50" s="318">
        <f t="shared" si="214"/>
        <v>0</v>
      </c>
      <c r="AF50" s="318"/>
      <c r="AG50" s="318"/>
      <c r="AH50" s="318">
        <f t="shared" si="215"/>
        <v>674.452</v>
      </c>
      <c r="AI50" s="318">
        <v>674.452</v>
      </c>
      <c r="AJ50" s="318"/>
      <c r="AK50" s="318">
        <f t="shared" si="216"/>
        <v>120.999897</v>
      </c>
      <c r="AL50" s="318">
        <f t="shared" si="217"/>
        <v>0</v>
      </c>
      <c r="AM50" s="318"/>
      <c r="AN50" s="318"/>
      <c r="AO50" s="318">
        <f t="shared" si="218"/>
        <v>120.999897</v>
      </c>
      <c r="AP50" s="318">
        <v>120.999897</v>
      </c>
      <c r="AQ50" s="318"/>
      <c r="AR50" s="318">
        <f t="shared" si="219"/>
        <v>1435.0340000000001</v>
      </c>
      <c r="AS50" s="318">
        <f t="shared" si="220"/>
        <v>0</v>
      </c>
      <c r="AT50" s="318"/>
      <c r="AU50" s="318"/>
      <c r="AV50" s="318">
        <f t="shared" si="221"/>
        <v>1435.0340000000001</v>
      </c>
      <c r="AW50" s="318">
        <v>1435.0340000000001</v>
      </c>
      <c r="AX50" s="318"/>
      <c r="AY50" s="319">
        <f t="shared" si="55"/>
        <v>0.58582607040988377</v>
      </c>
      <c r="AZ50" s="319">
        <f t="shared" si="56"/>
        <v>0</v>
      </c>
      <c r="BA50" s="319">
        <f t="shared" si="57"/>
        <v>0.68850657395974801</v>
      </c>
      <c r="BB50" s="319">
        <f t="shared" si="60"/>
        <v>0.85994134897360708</v>
      </c>
      <c r="BC50" s="319"/>
      <c r="BD50" s="319"/>
      <c r="BE50" s="319"/>
      <c r="BF50" s="319">
        <f t="shared" si="67"/>
        <v>0.85994134897360708</v>
      </c>
      <c r="BG50" s="319">
        <f t="shared" si="68"/>
        <v>0.85994134897360708</v>
      </c>
      <c r="BH50" s="319"/>
      <c r="BI50" s="319">
        <f t="shared" si="63"/>
        <v>0.85211195070422541</v>
      </c>
      <c r="BJ50" s="319"/>
      <c r="BK50" s="319"/>
      <c r="BL50" s="319"/>
      <c r="BM50" s="319">
        <f t="shared" si="88"/>
        <v>0.85211195070422541</v>
      </c>
      <c r="BN50" s="319">
        <f t="shared" si="89"/>
        <v>0.85211195070422541</v>
      </c>
      <c r="BO50" s="319"/>
      <c r="BP50" s="319">
        <f t="shared" si="198"/>
        <v>0.49808199589048702</v>
      </c>
      <c r="BQ50" s="319">
        <f t="shared" si="199"/>
        <v>0</v>
      </c>
      <c r="BR50" s="319">
        <f t="shared" si="200"/>
        <v>0</v>
      </c>
      <c r="BS50" s="319"/>
      <c r="BT50" s="319">
        <f t="shared" si="65"/>
        <v>0.6203406389141054</v>
      </c>
      <c r="BU50" s="319">
        <f t="shared" si="66"/>
        <v>0.6203406389141054</v>
      </c>
      <c r="BV50" s="320"/>
    </row>
    <row r="51" spans="1:75" ht="20.100000000000001" customHeight="1">
      <c r="A51" s="316" t="s">
        <v>36</v>
      </c>
      <c r="B51" s="317" t="s">
        <v>478</v>
      </c>
      <c r="C51" s="318">
        <f t="shared" si="201"/>
        <v>3191.4200000000005</v>
      </c>
      <c r="D51" s="318">
        <f t="shared" si="202"/>
        <v>395.82</v>
      </c>
      <c r="E51" s="318">
        <f t="shared" si="203"/>
        <v>2795.6000000000004</v>
      </c>
      <c r="F51" s="318">
        <f t="shared" si="204"/>
        <v>454.3</v>
      </c>
      <c r="G51" s="318">
        <f t="shared" si="205"/>
        <v>0</v>
      </c>
      <c r="H51" s="318"/>
      <c r="I51" s="318"/>
      <c r="J51" s="318">
        <f t="shared" si="206"/>
        <v>454.3</v>
      </c>
      <c r="K51" s="318">
        <f>413+41.3</f>
        <v>454.3</v>
      </c>
      <c r="L51" s="318"/>
      <c r="M51" s="318">
        <f t="shared" si="207"/>
        <v>143</v>
      </c>
      <c r="N51" s="318">
        <f t="shared" si="208"/>
        <v>0</v>
      </c>
      <c r="O51" s="318"/>
      <c r="P51" s="318"/>
      <c r="Q51" s="318">
        <f t="shared" si="209"/>
        <v>143</v>
      </c>
      <c r="R51" s="318">
        <f>83+60</f>
        <v>143</v>
      </c>
      <c r="S51" s="318"/>
      <c r="T51" s="318">
        <f t="shared" si="210"/>
        <v>2594.1200000000003</v>
      </c>
      <c r="U51" s="318">
        <f t="shared" si="211"/>
        <v>395.82</v>
      </c>
      <c r="V51" s="318">
        <v>395.82</v>
      </c>
      <c r="W51" s="318"/>
      <c r="X51" s="318">
        <f t="shared" si="212"/>
        <v>2198.3000000000002</v>
      </c>
      <c r="Y51" s="318">
        <f>2313+107.3-550-22+350</f>
        <v>2198.3000000000002</v>
      </c>
      <c r="Z51" s="318"/>
      <c r="AA51" s="318">
        <f t="shared" si="222"/>
        <v>993.72159999999997</v>
      </c>
      <c r="AB51" s="318">
        <f t="shared" si="47"/>
        <v>0</v>
      </c>
      <c r="AC51" s="318">
        <f t="shared" si="48"/>
        <v>993.72159999999997</v>
      </c>
      <c r="AD51" s="318">
        <f t="shared" si="213"/>
        <v>413.21300000000002</v>
      </c>
      <c r="AE51" s="318">
        <f t="shared" si="214"/>
        <v>0</v>
      </c>
      <c r="AF51" s="318"/>
      <c r="AG51" s="318"/>
      <c r="AH51" s="318">
        <f t="shared" si="215"/>
        <v>413.21300000000002</v>
      </c>
      <c r="AI51" s="318">
        <v>413.21300000000002</v>
      </c>
      <c r="AJ51" s="318"/>
      <c r="AK51" s="318">
        <f t="shared" si="216"/>
        <v>122</v>
      </c>
      <c r="AL51" s="318">
        <f t="shared" si="217"/>
        <v>0</v>
      </c>
      <c r="AM51" s="318"/>
      <c r="AN51" s="318"/>
      <c r="AO51" s="318">
        <f t="shared" si="218"/>
        <v>122</v>
      </c>
      <c r="AP51" s="318">
        <v>122</v>
      </c>
      <c r="AQ51" s="318"/>
      <c r="AR51" s="318">
        <f t="shared" si="219"/>
        <v>458.5086</v>
      </c>
      <c r="AS51" s="318">
        <f t="shared" si="220"/>
        <v>0</v>
      </c>
      <c r="AT51" s="318"/>
      <c r="AU51" s="318"/>
      <c r="AV51" s="318">
        <f t="shared" si="221"/>
        <v>458.5086</v>
      </c>
      <c r="AW51" s="318">
        <v>458.5086</v>
      </c>
      <c r="AX51" s="318"/>
      <c r="AY51" s="319">
        <f t="shared" si="55"/>
        <v>0.3113728685036754</v>
      </c>
      <c r="AZ51" s="319">
        <f t="shared" si="56"/>
        <v>0</v>
      </c>
      <c r="BA51" s="319">
        <f t="shared" si="57"/>
        <v>0.35545915009300322</v>
      </c>
      <c r="BB51" s="319">
        <f t="shared" si="60"/>
        <v>0.90955976227162671</v>
      </c>
      <c r="BC51" s="319"/>
      <c r="BD51" s="319"/>
      <c r="BE51" s="319"/>
      <c r="BF51" s="319">
        <f t="shared" si="67"/>
        <v>0.90955976227162671</v>
      </c>
      <c r="BG51" s="319">
        <f t="shared" si="68"/>
        <v>0.90955976227162671</v>
      </c>
      <c r="BH51" s="319"/>
      <c r="BI51" s="319">
        <f t="shared" si="63"/>
        <v>0.85314685314685312</v>
      </c>
      <c r="BJ51" s="319"/>
      <c r="BK51" s="319"/>
      <c r="BL51" s="319"/>
      <c r="BM51" s="319">
        <f t="shared" si="88"/>
        <v>0.85314685314685312</v>
      </c>
      <c r="BN51" s="319">
        <f t="shared" si="89"/>
        <v>0.85314685314685312</v>
      </c>
      <c r="BO51" s="319"/>
      <c r="BP51" s="319">
        <f t="shared" si="198"/>
        <v>0.17674918662205294</v>
      </c>
      <c r="BQ51" s="319">
        <f t="shared" si="199"/>
        <v>0</v>
      </c>
      <c r="BR51" s="319">
        <f t="shared" si="200"/>
        <v>0</v>
      </c>
      <c r="BS51" s="319"/>
      <c r="BT51" s="319">
        <f t="shared" si="65"/>
        <v>0.20857417095027975</v>
      </c>
      <c r="BU51" s="319">
        <f t="shared" si="66"/>
        <v>0.20857417095027975</v>
      </c>
      <c r="BV51" s="320"/>
    </row>
    <row r="52" spans="1:75" ht="25.5" customHeight="1">
      <c r="B52" s="305"/>
      <c r="C52" s="305" t="s">
        <v>536</v>
      </c>
      <c r="D52" s="305"/>
      <c r="E52" s="305"/>
      <c r="F52" s="305"/>
      <c r="G52" s="305"/>
      <c r="H52" s="305"/>
      <c r="I52" s="305"/>
      <c r="J52" s="305"/>
      <c r="K52" s="305"/>
      <c r="L52" s="305"/>
      <c r="M52" s="305"/>
      <c r="N52" s="305"/>
      <c r="O52" s="305"/>
      <c r="P52" s="305"/>
      <c r="Q52" s="305"/>
      <c r="R52" s="305"/>
      <c r="S52" s="305"/>
      <c r="T52" s="306"/>
      <c r="U52" s="306"/>
      <c r="V52" s="306"/>
      <c r="W52" s="306"/>
      <c r="X52" s="306"/>
      <c r="Y52" s="306"/>
      <c r="Z52" s="306"/>
      <c r="AA52" s="306"/>
      <c r="AB52" s="306"/>
      <c r="AC52" s="306"/>
      <c r="AD52" s="306"/>
      <c r="AE52" s="306"/>
      <c r="AF52" s="306"/>
      <c r="AG52" s="306"/>
      <c r="AH52" s="306"/>
      <c r="AI52" s="306"/>
      <c r="AJ52" s="306"/>
      <c r="AK52" s="306"/>
      <c r="AL52" s="306"/>
      <c r="AM52" s="306"/>
      <c r="AN52" s="306"/>
      <c r="AO52" s="306"/>
      <c r="AP52" s="306"/>
      <c r="AQ52" s="306"/>
      <c r="AR52" s="306"/>
      <c r="AS52" s="306"/>
      <c r="AT52" s="306"/>
      <c r="AU52" s="306"/>
      <c r="AV52" s="306"/>
      <c r="AW52" s="306"/>
      <c r="AX52" s="306"/>
      <c r="AY52" s="146"/>
      <c r="AZ52" s="146"/>
      <c r="BA52" s="146"/>
      <c r="BB52" s="307"/>
      <c r="BC52" s="307"/>
      <c r="BD52" s="307"/>
      <c r="BE52" s="307"/>
      <c r="BF52" s="146"/>
      <c r="BG52" s="146"/>
      <c r="BH52" s="307"/>
      <c r="BI52" s="307"/>
      <c r="BJ52" s="307"/>
      <c r="BK52" s="307"/>
      <c r="BL52" s="307"/>
      <c r="BM52" s="146"/>
      <c r="BN52" s="146"/>
      <c r="BO52" s="307"/>
      <c r="BP52" s="146"/>
      <c r="BQ52" s="146"/>
      <c r="BR52" s="146"/>
      <c r="BS52" s="307"/>
      <c r="BT52" s="307"/>
      <c r="BU52" s="307"/>
      <c r="BV52" s="308"/>
    </row>
    <row r="53" spans="1:75" hidden="1">
      <c r="A53" s="147"/>
      <c r="B53" s="148"/>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50"/>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51"/>
      <c r="AZ53" s="151"/>
      <c r="BA53" s="151"/>
      <c r="BB53" s="146"/>
      <c r="BC53" s="146"/>
      <c r="BD53" s="146"/>
      <c r="BE53" s="146"/>
      <c r="BF53" s="146"/>
      <c r="BG53" s="146"/>
      <c r="BH53" s="146"/>
      <c r="BI53" s="146"/>
      <c r="BJ53" s="146"/>
      <c r="BK53" s="146"/>
      <c r="BL53" s="146"/>
      <c r="BM53" s="146"/>
      <c r="BN53" s="146"/>
      <c r="BO53" s="146"/>
      <c r="BP53" s="146"/>
      <c r="BQ53" s="146"/>
      <c r="BR53" s="146"/>
      <c r="BS53" s="146"/>
      <c r="BT53" s="146"/>
      <c r="BU53" s="146"/>
      <c r="BV53" s="151"/>
    </row>
    <row r="54" spans="1:75">
      <c r="A54" s="188" t="s">
        <v>0</v>
      </c>
      <c r="B54" s="188"/>
      <c r="C54" s="188"/>
      <c r="D54" s="188"/>
      <c r="E54" s="188"/>
      <c r="F54" s="188"/>
      <c r="G54" s="188"/>
      <c r="H54" s="188"/>
      <c r="I54" s="188"/>
      <c r="J54" s="18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c r="AI54" s="188"/>
      <c r="AJ54" s="188"/>
      <c r="AK54" s="188"/>
      <c r="AL54" s="188"/>
      <c r="AM54" s="188"/>
      <c r="AN54" s="188"/>
      <c r="AO54" s="188"/>
      <c r="AP54" s="188"/>
      <c r="AQ54" s="188"/>
      <c r="AR54" s="188"/>
      <c r="AS54" s="188"/>
      <c r="AT54" s="188"/>
      <c r="AU54" s="188"/>
      <c r="AV54" s="188"/>
      <c r="AW54" s="188"/>
      <c r="AX54" s="188"/>
      <c r="AY54" s="188"/>
      <c r="AZ54" s="188"/>
      <c r="BA54" s="188"/>
      <c r="BB54" s="188"/>
      <c r="BC54" s="188"/>
      <c r="BD54" s="188"/>
      <c r="BE54" s="188"/>
      <c r="BF54" s="188"/>
      <c r="BG54" s="188"/>
      <c r="BH54" s="188"/>
      <c r="BI54" s="188"/>
      <c r="BJ54" s="188"/>
      <c r="BK54" s="188"/>
      <c r="BL54" s="188"/>
      <c r="BM54" s="188"/>
      <c r="BN54" s="188"/>
      <c r="BO54" s="188"/>
      <c r="BP54" s="188"/>
      <c r="BQ54" s="188"/>
      <c r="BR54" s="188"/>
      <c r="BS54" s="188"/>
      <c r="BT54" s="188"/>
      <c r="BU54" s="188"/>
      <c r="BV54" s="188"/>
      <c r="BW54" s="188"/>
    </row>
  </sheetData>
  <mergeCells count="102">
    <mergeCell ref="BI8:BO8"/>
    <mergeCell ref="BN10:BO10"/>
    <mergeCell ref="BJ10:BJ11"/>
    <mergeCell ref="BK10:BL10"/>
    <mergeCell ref="BI9:BI11"/>
    <mergeCell ref="C3:S3"/>
    <mergeCell ref="C4:S4"/>
    <mergeCell ref="AZ9:AZ11"/>
    <mergeCell ref="AO3:BH3"/>
    <mergeCell ref="AO4:BH4"/>
    <mergeCell ref="AO10:AO11"/>
    <mergeCell ref="AY8:AY11"/>
    <mergeCell ref="AZ8:BA8"/>
    <mergeCell ref="BB8:BH8"/>
    <mergeCell ref="AE10:AE11"/>
    <mergeCell ref="AF10:AG10"/>
    <mergeCell ref="BB9:BB11"/>
    <mergeCell ref="BC9:BE9"/>
    <mergeCell ref="BF9:BH9"/>
    <mergeCell ref="BC10:BC11"/>
    <mergeCell ref="BD10:BE10"/>
    <mergeCell ref="T7:Z7"/>
    <mergeCell ref="C7:S7"/>
    <mergeCell ref="AK8:AQ8"/>
    <mergeCell ref="AV10:AV11"/>
    <mergeCell ref="AW10:AX10"/>
    <mergeCell ref="AK7:AX7"/>
    <mergeCell ref="A54:BW54"/>
    <mergeCell ref="BF10:BF11"/>
    <mergeCell ref="BG10:BH10"/>
    <mergeCell ref="BJ9:BL9"/>
    <mergeCell ref="BM9:BO9"/>
    <mergeCell ref="G10:G11"/>
    <mergeCell ref="H10:I10"/>
    <mergeCell ref="J10:J11"/>
    <mergeCell ref="K10:L10"/>
    <mergeCell ref="N10:N11"/>
    <mergeCell ref="O10:P10"/>
    <mergeCell ref="Q10:Q11"/>
    <mergeCell ref="A7:A11"/>
    <mergeCell ref="BM10:BM11"/>
    <mergeCell ref="G9:I9"/>
    <mergeCell ref="B7:B11"/>
    <mergeCell ref="AA8:AA11"/>
    <mergeCell ref="D9:D11"/>
    <mergeCell ref="AB8:AC8"/>
    <mergeCell ref="X9:Z9"/>
    <mergeCell ref="U10:U11"/>
    <mergeCell ref="AA7:AJ7"/>
    <mergeCell ref="AD9:AD11"/>
    <mergeCell ref="E9:E11"/>
    <mergeCell ref="F9:F11"/>
    <mergeCell ref="M9:M11"/>
    <mergeCell ref="AB9:AB11"/>
    <mergeCell ref="R10:S10"/>
    <mergeCell ref="N9:P9"/>
    <mergeCell ref="AC9:AC11"/>
    <mergeCell ref="AI10:AJ10"/>
    <mergeCell ref="Q9:S9"/>
    <mergeCell ref="J9:L9"/>
    <mergeCell ref="V10:W10"/>
    <mergeCell ref="X10:X11"/>
    <mergeCell ref="Y10:Z10"/>
    <mergeCell ref="C8:C11"/>
    <mergeCell ref="AE9:AG9"/>
    <mergeCell ref="AH9:AJ9"/>
    <mergeCell ref="AK9:AK11"/>
    <mergeCell ref="AL9:AN9"/>
    <mergeCell ref="AM10:AN10"/>
    <mergeCell ref="D8:E8"/>
    <mergeCell ref="F8:L8"/>
    <mergeCell ref="M8:S8"/>
    <mergeCell ref="AH10:AH11"/>
    <mergeCell ref="AD8:AJ8"/>
    <mergeCell ref="T8:Z8"/>
    <mergeCell ref="T9:T11"/>
    <mergeCell ref="U9:W9"/>
    <mergeCell ref="AL10:AL11"/>
    <mergeCell ref="AY7:BA7"/>
    <mergeCell ref="BB7:BV7"/>
    <mergeCell ref="BS6:BV6"/>
    <mergeCell ref="AP10:AQ10"/>
    <mergeCell ref="BI3:BO3"/>
    <mergeCell ref="BI4:BO4"/>
    <mergeCell ref="BP3:BV3"/>
    <mergeCell ref="BP4:BV4"/>
    <mergeCell ref="BP8:BV8"/>
    <mergeCell ref="BP9:BP11"/>
    <mergeCell ref="BQ9:BS9"/>
    <mergeCell ref="BT9:BV9"/>
    <mergeCell ref="BQ10:BQ11"/>
    <mergeCell ref="BR10:BS10"/>
    <mergeCell ref="BT10:BT11"/>
    <mergeCell ref="BU10:BV10"/>
    <mergeCell ref="BA9:BA11"/>
    <mergeCell ref="AO9:AQ9"/>
    <mergeCell ref="AR8:AX8"/>
    <mergeCell ref="AR9:AR11"/>
    <mergeCell ref="AS9:AU9"/>
    <mergeCell ref="AV9:AX9"/>
    <mergeCell ref="AS10:AS11"/>
    <mergeCell ref="AT10:AU10"/>
  </mergeCells>
  <phoneticPr fontId="29" type="noConversion"/>
  <pageMargins left="0.5" right="0.3" top="0.5" bottom="0.4" header="0.2" footer="0.2"/>
  <pageSetup paperSize="9" scale="73" fitToHeight="0" orientation="landscape" verticalDpi="0"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24</vt:i4>
      </vt:variant>
    </vt:vector>
  </HeadingPairs>
  <TitlesOfParts>
    <vt:vector size="33" baseType="lpstr">
      <vt:lpstr>48</vt:lpstr>
      <vt:lpstr>50</vt:lpstr>
      <vt:lpstr>51</vt:lpstr>
      <vt:lpstr>52</vt:lpstr>
      <vt:lpstr>53</vt:lpstr>
      <vt:lpstr>54</vt:lpstr>
      <vt:lpstr>58</vt:lpstr>
      <vt:lpstr>59</vt:lpstr>
      <vt:lpstr>61</vt:lpstr>
      <vt:lpstr>'58'!page\x2dtotal</vt:lpstr>
      <vt:lpstr>'59'!page\x2dtotal</vt:lpstr>
      <vt:lpstr>'61'!page\x2dtotal</vt:lpstr>
      <vt:lpstr>page\x2dtotal</vt:lpstr>
      <vt:lpstr>'58'!page\x2dtotal\x2dmaster0</vt:lpstr>
      <vt:lpstr>'59'!page\x2dtotal\x2dmaster0</vt:lpstr>
      <vt:lpstr>'61'!page\x2dtotal\x2dmaster0</vt:lpstr>
      <vt:lpstr>page\x2dtotal\x2dmaster0</vt:lpstr>
      <vt:lpstr>'48'!Print_Area</vt:lpstr>
      <vt:lpstr>'50'!Print_Area</vt:lpstr>
      <vt:lpstr>'51'!Print_Area</vt:lpstr>
      <vt:lpstr>'52'!Print_Area</vt:lpstr>
      <vt:lpstr>'53'!Print_Area</vt:lpstr>
      <vt:lpstr>'54'!Print_Area</vt:lpstr>
      <vt:lpstr>'58'!Print_Area</vt:lpstr>
      <vt:lpstr>'59'!Print_Area</vt:lpstr>
      <vt:lpstr>'61'!Print_Area</vt:lpstr>
      <vt:lpstr>'48'!Print_Titles</vt:lpstr>
      <vt:lpstr>'50'!Print_Titles</vt:lpstr>
      <vt:lpstr>'51'!Print_Titles</vt:lpstr>
      <vt:lpstr>'52'!Print_Titles</vt:lpstr>
      <vt:lpstr>'53'!Print_Titles</vt:lpstr>
      <vt:lpstr>'54'!Print_Titles</vt:lpstr>
      <vt:lpstr>'61'!Print_Titles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2020-04-10T09:01:29Z</dcterms:created>
  <dcterms:modified xsi:type="dcterms:W3CDTF">2024-07-23T08:06:39Z</dcterms:modified>
</cp:coreProperties>
</file>